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chnisch secretariaat\U-waarde berekingstool\"/>
    </mc:Choice>
  </mc:AlternateContent>
  <xr:revisionPtr revIDLastSave="0" documentId="13_ncr:1_{4A32B660-D2A8-4094-99D5-63F6A89404A1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Blad1" sheetId="1" r:id="rId1"/>
    <sheet name="Blad2" sheetId="2" state="hidden" r:id="rId2"/>
  </sheets>
  <definedNames>
    <definedName name="a">Blad1!$AE$3:$AE$5</definedName>
    <definedName name="_xlnm.Print_Area" localSheetId="0">Blad1!$A$2:$P$75</definedName>
    <definedName name="B">Blad1!$T$3:$T$5</definedName>
    <definedName name="Cal">Blad1!$U$3:$U$4</definedName>
    <definedName name="d">Blad1!$S$3:$S$5</definedName>
    <definedName name="dekplaat">Blad1!$W$33:$W$34</definedName>
    <definedName name="dik">Blad2!$D$2:$D$5</definedName>
    <definedName name="dikte">Blad1!#REF!</definedName>
    <definedName name="g">Blad1!$Y$3:$Y$4</definedName>
    <definedName name="glas">Blad1!$Y$3:$Y$5</definedName>
    <definedName name="I">Blad1!$W$3:$W$5</definedName>
    <definedName name="inhoud">Blad1!#REF!</definedName>
    <definedName name="iso">Blad1!$AE$3:$AE$5</definedName>
    <definedName name="Isolatie">Blad1!#REF!</definedName>
    <definedName name="jan">Blad2!$C$1:$C$3</definedName>
    <definedName name="klaas">Blad1!$S$2:$S$4</definedName>
    <definedName name="l">Blad1!$W$3:$W$7</definedName>
    <definedName name="leo">Blad1!$S$3:$S$5</definedName>
    <definedName name="onderdorpel">Blad1!#REF!</definedName>
    <definedName name="P">Blad1!$X$3:$X$4</definedName>
    <definedName name="plaat">Blad1!#REF!</definedName>
    <definedName name="rand">Blad1!#REF!</definedName>
    <definedName name="s">Blad1!$AF$3:$AF$4</definedName>
    <definedName name="Sluitstijl">Blad1!$AE$33:$AE$34</definedName>
    <definedName name="sluitzijde">Blad1!#REF!</definedName>
    <definedName name="sprosse">Blad1!#REF!</definedName>
    <definedName name="v">Blad1!$W$3:$W$5</definedName>
    <definedName name="vulling">Blad1!$S$33:$S$34</definedName>
    <definedName name="w">Blad1!$V$3:$V$4</definedName>
    <definedName name="we">Blad1!$V$3:$V$5</definedName>
    <definedName name="x">Blad1!$AE$3:$AE$4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  <c r="F26" i="1"/>
  <c r="AK81" i="1"/>
  <c r="AJ81" i="1"/>
  <c r="AI81" i="1"/>
  <c r="AG81" i="1"/>
  <c r="AG82" i="1" s="1"/>
  <c r="Z63" i="1"/>
  <c r="N80" i="1"/>
  <c r="N79" i="1"/>
  <c r="N77" i="1"/>
  <c r="O73" i="1"/>
  <c r="L81" i="1"/>
  <c r="J81" i="1"/>
  <c r="L78" i="1"/>
  <c r="N78" i="1" s="1"/>
  <c r="AV72" i="1"/>
  <c r="AL44" i="1"/>
  <c r="AL43" i="1"/>
  <c r="AV71" i="1"/>
  <c r="AV70" i="1"/>
  <c r="AV69" i="1"/>
  <c r="AL45" i="1"/>
  <c r="AV68" i="1"/>
  <c r="AV67" i="1"/>
  <c r="AV66" i="1"/>
  <c r="AV65" i="1"/>
  <c r="AV64" i="1"/>
  <c r="AV63" i="1"/>
  <c r="AV62" i="1"/>
  <c r="AV61" i="1"/>
  <c r="AV60" i="1"/>
  <c r="AV59" i="1"/>
  <c r="AV58" i="1"/>
  <c r="AV57" i="1"/>
  <c r="AV56" i="1"/>
  <c r="AV55" i="1"/>
  <c r="AV54" i="1"/>
  <c r="AV51" i="1"/>
  <c r="AV50" i="1"/>
  <c r="AV53" i="1"/>
  <c r="AE55" i="1" s="1"/>
  <c r="AV52" i="1"/>
  <c r="AK75" i="1"/>
  <c r="Y55" i="1" l="1"/>
  <c r="AL37" i="1"/>
  <c r="AC54" i="1"/>
  <c r="Y54" i="1"/>
  <c r="AE54" i="1"/>
  <c r="AC53" i="1"/>
  <c r="AL39" i="1"/>
  <c r="AL42" i="1"/>
  <c r="X55" i="1"/>
  <c r="Y53" i="1"/>
  <c r="AD54" i="1"/>
  <c r="X54" i="1"/>
  <c r="AB53" i="1"/>
  <c r="Z55" i="1"/>
  <c r="AA55" i="1"/>
  <c r="AB55" i="1"/>
  <c r="AC55" i="1"/>
  <c r="AD55" i="1"/>
  <c r="Z54" i="1"/>
  <c r="AA54" i="1"/>
  <c r="AL36" i="1"/>
  <c r="AB54" i="1"/>
  <c r="Y56" i="1"/>
  <c r="AL38" i="1"/>
  <c r="AL40" i="1"/>
  <c r="AL41" i="1"/>
  <c r="Z56" i="1"/>
  <c r="X53" i="1"/>
  <c r="J51" i="1" l="1"/>
  <c r="G51" i="1"/>
  <c r="J28" i="1" l="1"/>
  <c r="G28" i="1"/>
  <c r="L44" i="1"/>
  <c r="K44" i="1"/>
  <c r="Z61" i="1" l="1"/>
  <c r="Y61" i="1"/>
  <c r="Y62" i="1" s="1"/>
  <c r="AD63" i="1"/>
  <c r="AD61" i="1"/>
  <c r="AC61" i="1"/>
  <c r="AC62" i="1" s="1"/>
  <c r="AG68" i="1" l="1"/>
  <c r="AI68" i="1"/>
  <c r="AL67" i="1"/>
  <c r="AL58" i="1"/>
  <c r="AI59" i="1"/>
  <c r="AG59" i="1"/>
  <c r="AG62" i="1" s="1"/>
  <c r="AL51" i="1"/>
  <c r="AG52" i="1"/>
  <c r="AG56" i="1" s="1"/>
  <c r="AI52" i="1"/>
  <c r="AI66" i="1" l="1"/>
  <c r="AI65" i="1"/>
  <c r="AI63" i="1"/>
  <c r="AI56" i="1"/>
  <c r="AL56" i="1" s="1"/>
  <c r="AI54" i="1"/>
  <c r="AI53" i="1"/>
  <c r="AG65" i="1"/>
  <c r="AG63" i="1"/>
  <c r="AG61" i="1"/>
  <c r="AG60" i="1"/>
  <c r="AG66" i="1"/>
  <c r="AG64" i="1"/>
  <c r="AI64" i="1"/>
  <c r="AI62" i="1"/>
  <c r="AI61" i="1"/>
  <c r="AI55" i="1"/>
  <c r="AI73" i="1"/>
  <c r="AG90" i="1"/>
  <c r="AG87" i="1"/>
  <c r="AG85" i="1"/>
  <c r="AG84" i="1"/>
  <c r="AG89" i="1"/>
  <c r="AG86" i="1"/>
  <c r="AL86" i="1" s="1"/>
  <c r="E33" i="1" s="1"/>
  <c r="AG83" i="1"/>
  <c r="AG88" i="1"/>
  <c r="AG73" i="1"/>
  <c r="AG79" i="1"/>
  <c r="AI72" i="1"/>
  <c r="AG76" i="1"/>
  <c r="AG78" i="1"/>
  <c r="AG77" i="1"/>
  <c r="AG75" i="1"/>
  <c r="AI71" i="1"/>
  <c r="AI70" i="1"/>
  <c r="AI69" i="1"/>
  <c r="AG72" i="1"/>
  <c r="AG71" i="1"/>
  <c r="AG70" i="1"/>
  <c r="AG69" i="1"/>
  <c r="AI60" i="1"/>
  <c r="AG55" i="1"/>
  <c r="AG54" i="1"/>
  <c r="AG53" i="1"/>
  <c r="AL68" i="1"/>
  <c r="AL59" i="1"/>
  <c r="AL52" i="1"/>
  <c r="L61" i="1"/>
  <c r="AL88" i="1" l="1"/>
  <c r="E34" i="1" s="1"/>
  <c r="AL66" i="1"/>
  <c r="AL73" i="1"/>
  <c r="AL75" i="1"/>
  <c r="N40" i="1" s="1"/>
  <c r="N45" i="1" s="1"/>
  <c r="AL83" i="1"/>
  <c r="E32" i="1" s="1"/>
  <c r="AL69" i="1"/>
  <c r="AL55" i="1"/>
  <c r="L59" i="1" s="1"/>
  <c r="AL72" i="1"/>
  <c r="AL53" i="1"/>
  <c r="AL63" i="1"/>
  <c r="AL60" i="1"/>
  <c r="L55" i="1" s="1"/>
  <c r="AL65" i="1"/>
  <c r="AL62" i="1"/>
  <c r="L57" i="1" s="1"/>
  <c r="AL71" i="1"/>
  <c r="AL61" i="1"/>
  <c r="L56" i="1" s="1"/>
  <c r="AL70" i="1"/>
  <c r="AL64" i="1"/>
  <c r="AL54" i="1"/>
  <c r="I66" i="1"/>
  <c r="F37" i="1"/>
  <c r="L63" i="1" l="1"/>
  <c r="L60" i="1"/>
  <c r="L58" i="1"/>
  <c r="M58" i="1" s="1"/>
  <c r="E58" i="1"/>
  <c r="I58" i="1" s="1"/>
  <c r="N46" i="1"/>
  <c r="O46" i="1" s="1"/>
  <c r="N41" i="1"/>
  <c r="N42" i="1"/>
  <c r="O42" i="1" s="1"/>
  <c r="N43" i="1"/>
  <c r="O43" i="1" s="1"/>
  <c r="L66" i="1"/>
  <c r="O66" i="1" s="1"/>
  <c r="L65" i="1"/>
  <c r="C73" i="1"/>
  <c r="E60" i="1"/>
  <c r="E61" i="1"/>
  <c r="E57" i="1"/>
  <c r="E56" i="1"/>
  <c r="K41" i="1"/>
  <c r="K40" i="1"/>
  <c r="L40" i="1"/>
  <c r="L41" i="1"/>
  <c r="L46" i="1"/>
  <c r="L45" i="1"/>
  <c r="L43" i="1"/>
  <c r="L42" i="1"/>
  <c r="O45" i="1"/>
  <c r="O40" i="1"/>
  <c r="K46" i="1"/>
  <c r="K45" i="1"/>
  <c r="K43" i="1"/>
  <c r="K42" i="1"/>
  <c r="O41" i="1" l="1"/>
  <c r="N44" i="1"/>
  <c r="O44" i="1" s="1"/>
  <c r="O58" i="1"/>
  <c r="L47" i="1"/>
  <c r="I65" i="1" s="1"/>
  <c r="O65" i="1" s="1"/>
  <c r="O67" i="1" s="1"/>
  <c r="I61" i="1"/>
  <c r="O61" i="1" s="1"/>
  <c r="O47" i="1" l="1"/>
  <c r="I60" i="1"/>
  <c r="O60" i="1" l="1"/>
  <c r="AL82" i="1"/>
  <c r="E31" i="1"/>
  <c r="E55" i="1" s="1"/>
  <c r="I56" i="1" l="1"/>
  <c r="I57" i="1"/>
  <c r="I55" i="1"/>
  <c r="O55" i="1" s="1"/>
  <c r="O56" i="1" l="1"/>
  <c r="I59" i="1"/>
  <c r="I62" i="1" s="1"/>
  <c r="O57" i="1"/>
  <c r="O59" i="1" l="1"/>
  <c r="O62" i="1" s="1"/>
  <c r="E63" i="1"/>
  <c r="K59" i="1"/>
  <c r="C72" i="1" l="1"/>
  <c r="O69" i="1"/>
  <c r="K81" i="1" l="1"/>
  <c r="N81" i="1" s="1"/>
  <c r="N82" i="1" s="1"/>
  <c r="O7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Gerard</author>
  </authors>
  <commentList>
    <comment ref="Q6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Gerard: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<sst xmlns="http://schemas.openxmlformats.org/spreadsheetml/2006/main" count="522" uniqueCount="240">
  <si>
    <t>Deur</t>
  </si>
  <si>
    <t>Glasvakken</t>
  </si>
  <si>
    <t>Glas</t>
  </si>
  <si>
    <t>type glasrand</t>
  </si>
  <si>
    <t>Rond</t>
  </si>
  <si>
    <t>Rechthoekig</t>
  </si>
  <si>
    <t>Toog bovenzijde</t>
  </si>
  <si>
    <t>Ug</t>
  </si>
  <si>
    <t>Psi</t>
  </si>
  <si>
    <t>dikte</t>
  </si>
  <si>
    <t>dekplaat</t>
  </si>
  <si>
    <t>vulling</t>
  </si>
  <si>
    <t>UITVOER</t>
  </si>
  <si>
    <t xml:space="preserve"> </t>
  </si>
  <si>
    <t>deurblad hangstijl</t>
  </si>
  <si>
    <t>deurblad sluitstijl (met stab. Voorz.)</t>
  </si>
  <si>
    <t>deurblad bovendorpel</t>
  </si>
  <si>
    <t>deurblad onderdorpel</t>
  </si>
  <si>
    <t>vulhout rondom glasvakken</t>
  </si>
  <si>
    <t>glasvakken</t>
  </si>
  <si>
    <t>deurblad geisoleerd</t>
  </si>
  <si>
    <t xml:space="preserve">Omtrek glas (alle glasvakken) </t>
  </si>
  <si>
    <t xml:space="preserve">Up = </t>
  </si>
  <si>
    <t xml:space="preserve"> mm</t>
  </si>
  <si>
    <t xml:space="preserve"> st </t>
  </si>
  <si>
    <t>A x Uc</t>
  </si>
  <si>
    <t>PROJECTGEGEVENS</t>
  </si>
  <si>
    <t>Project</t>
  </si>
  <si>
    <t>Projectnummer</t>
  </si>
  <si>
    <t>Opdrachtgever</t>
  </si>
  <si>
    <t xml:space="preserve">datum </t>
  </si>
  <si>
    <t>INVOERGEGEVENS</t>
  </si>
  <si>
    <t>breedte deurblad</t>
  </si>
  <si>
    <t>hoogte deurblad</t>
  </si>
  <si>
    <t>dikte deurblad</t>
  </si>
  <si>
    <t>mm</t>
  </si>
  <si>
    <t>st</t>
  </si>
  <si>
    <t>breed</t>
  </si>
  <si>
    <t>T</t>
  </si>
  <si>
    <t>TB</t>
  </si>
  <si>
    <t>TBP</t>
  </si>
  <si>
    <t>TX</t>
  </si>
  <si>
    <t>rand</t>
  </si>
  <si>
    <t>Kurk</t>
  </si>
  <si>
    <t>materiaal</t>
  </si>
  <si>
    <t>meranti</t>
  </si>
  <si>
    <t>hangstijl</t>
  </si>
  <si>
    <t>bovendorpel</t>
  </si>
  <si>
    <t>onderdorpel</t>
  </si>
  <si>
    <t>sluitstijl met stab. Voorziening</t>
  </si>
  <si>
    <t xml:space="preserve">  hoog</t>
  </si>
  <si>
    <t>opp (m2)</t>
  </si>
  <si>
    <t>omtrek (m1)</t>
  </si>
  <si>
    <t>std</t>
  </si>
  <si>
    <t>opp. (m2)</t>
  </si>
  <si>
    <r>
      <t xml:space="preserve">breed </t>
    </r>
    <r>
      <rPr>
        <sz val="8"/>
        <color theme="1"/>
        <rFont val="Calibri"/>
        <family val="2"/>
        <scheme val="minor"/>
      </rPr>
      <t>(mm)</t>
    </r>
  </si>
  <si>
    <t>Randhout</t>
  </si>
  <si>
    <t>W/m2K</t>
  </si>
  <si>
    <t>W/m1K</t>
  </si>
  <si>
    <t>nee</t>
  </si>
  <si>
    <r>
      <t xml:space="preserve">Uc </t>
    </r>
    <r>
      <rPr>
        <sz val="8"/>
        <color theme="1"/>
        <rFont val="Calibri"/>
        <family val="2"/>
        <scheme val="minor"/>
      </rPr>
      <t>(W/m2K)</t>
    </r>
  </si>
  <si>
    <r>
      <t xml:space="preserve">A </t>
    </r>
    <r>
      <rPr>
        <sz val="8"/>
        <color theme="1"/>
        <rFont val="Calibri"/>
        <family val="2"/>
        <scheme val="minor"/>
      </rPr>
      <t>(m2)</t>
    </r>
  </si>
  <si>
    <r>
      <t xml:space="preserve">b </t>
    </r>
    <r>
      <rPr>
        <sz val="8"/>
        <color theme="1"/>
        <rFont val="Calibri"/>
        <family val="2"/>
        <scheme val="minor"/>
      </rPr>
      <t xml:space="preserve">  </t>
    </r>
  </si>
  <si>
    <t>Ap =</t>
  </si>
  <si>
    <t xml:space="preserve"> m2</t>
  </si>
  <si>
    <t xml:space="preserve"> W/m2K </t>
  </si>
  <si>
    <t xml:space="preserve">  +</t>
  </si>
  <si>
    <t xml:space="preserve">Lengte wiener sprosse </t>
  </si>
  <si>
    <r>
      <rPr>
        <sz val="11"/>
        <color theme="1"/>
        <rFont val="Calibri"/>
        <family val="2"/>
      </rPr>
      <t>ψ</t>
    </r>
    <r>
      <rPr>
        <sz val="9"/>
        <color theme="1"/>
        <rFont val="Calibri"/>
        <family val="2"/>
      </rPr>
      <t xml:space="preserve">gl </t>
    </r>
    <r>
      <rPr>
        <sz val="8"/>
        <color theme="1"/>
        <rFont val="Calibri"/>
        <family val="2"/>
      </rPr>
      <t>(w/mK)</t>
    </r>
  </si>
  <si>
    <r>
      <rPr>
        <sz val="10"/>
        <color theme="1"/>
        <rFont val="Calibri"/>
        <family val="2"/>
      </rPr>
      <t>λ</t>
    </r>
    <r>
      <rPr>
        <sz val="8"/>
        <color theme="1"/>
        <rFont val="Calibri"/>
        <family val="2"/>
      </rPr>
      <t>D</t>
    </r>
    <r>
      <rPr>
        <sz val="9"/>
        <color theme="1"/>
        <rFont val="Calibri"/>
        <family val="2"/>
      </rPr>
      <t>/</t>
    </r>
    <r>
      <rPr>
        <sz val="11"/>
        <color theme="1"/>
        <rFont val="Calibri"/>
        <family val="2"/>
      </rPr>
      <t>λ</t>
    </r>
    <r>
      <rPr>
        <sz val="9"/>
        <color theme="1"/>
        <rFont val="Calibri"/>
        <family val="2"/>
      </rPr>
      <t>eq (W/mK)</t>
    </r>
  </si>
  <si>
    <t>tricoya</t>
  </si>
  <si>
    <t>I</t>
  </si>
  <si>
    <t>brandwering</t>
  </si>
  <si>
    <t>d</t>
  </si>
  <si>
    <t>B</t>
  </si>
  <si>
    <t>geen</t>
  </si>
  <si>
    <t>B30</t>
  </si>
  <si>
    <t>B60</t>
  </si>
  <si>
    <t>weldorpel</t>
  </si>
  <si>
    <t>w</t>
  </si>
  <si>
    <t>WX</t>
  </si>
  <si>
    <t>vuren</t>
  </si>
  <si>
    <t>Vuren</t>
  </si>
  <si>
    <t>SS</t>
  </si>
  <si>
    <t>HS</t>
  </si>
  <si>
    <t>BD</t>
  </si>
  <si>
    <t>OD</t>
  </si>
  <si>
    <t>Opties</t>
  </si>
  <si>
    <t>p</t>
  </si>
  <si>
    <t>Susplex</t>
  </si>
  <si>
    <t xml:space="preserve">  </t>
  </si>
  <si>
    <t>TBP-60</t>
  </si>
  <si>
    <t>TB-30</t>
  </si>
  <si>
    <t>x</t>
  </si>
  <si>
    <t>type en aantal glasvakken:</t>
  </si>
  <si>
    <t>gb</t>
  </si>
  <si>
    <t>Ugl  vrij in te vullen</t>
  </si>
  <si>
    <t>Psi te kiezen uit 0,08 en 0,06</t>
  </si>
  <si>
    <t>m1</t>
  </si>
  <si>
    <t>s</t>
  </si>
  <si>
    <t>ja</t>
  </si>
  <si>
    <t>SS-B30</t>
  </si>
  <si>
    <t>SS-B60</t>
  </si>
  <si>
    <t xml:space="preserve">BEREKENING Up SAMENGESTELDE DEUREN </t>
  </si>
  <si>
    <t xml:space="preserve">   +</t>
  </si>
  <si>
    <t>susplex</t>
  </si>
  <si>
    <t>kurk</t>
  </si>
  <si>
    <t xml:space="preserve">Gekozen deurdikte : </t>
  </si>
  <si>
    <t>na</t>
  </si>
  <si>
    <t>m2</t>
  </si>
  <si>
    <r>
      <rPr>
        <sz val="11"/>
        <color theme="1"/>
        <rFont val="Calibri"/>
        <family val="2"/>
        <scheme val="minor"/>
      </rPr>
      <t xml:space="preserve">l 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(m1)</t>
    </r>
  </si>
  <si>
    <r>
      <rPr>
        <sz val="11"/>
        <color theme="1"/>
        <rFont val="Calibri"/>
        <family val="2"/>
        <scheme val="minor"/>
      </rPr>
      <t xml:space="preserve">l </t>
    </r>
    <r>
      <rPr>
        <sz val="9"/>
        <color theme="1"/>
        <rFont val="Calibri"/>
        <family val="2"/>
        <scheme val="minor"/>
      </rPr>
      <t xml:space="preserve"> x </t>
    </r>
    <r>
      <rPr>
        <sz val="11"/>
        <color theme="1"/>
        <rFont val="Calibri"/>
        <family val="2"/>
      </rPr>
      <t>ψ</t>
    </r>
    <r>
      <rPr>
        <sz val="9"/>
        <color theme="1"/>
        <rFont val="Calibri"/>
        <family val="2"/>
      </rPr>
      <t>gl</t>
    </r>
  </si>
  <si>
    <t xml:space="preserve"> (W/K)</t>
  </si>
  <si>
    <t>Hulptabel keuze</t>
  </si>
  <si>
    <t>Uc - waarden</t>
  </si>
  <si>
    <t>Totale warmteverlies :</t>
  </si>
  <si>
    <t xml:space="preserve">  door programma bepaald/berekend</t>
  </si>
  <si>
    <t xml:space="preserve">  in te voeren keuze</t>
  </si>
  <si>
    <t xml:space="preserve">  in te voeren waarde</t>
  </si>
  <si>
    <t>Foutmelding glasoppervlak:  FOUT als er minder dan 0,5m2 deurblad is</t>
  </si>
  <si>
    <t>Wiener sprossen</t>
  </si>
  <si>
    <t>afwijkende hangstijlbreedte ?</t>
  </si>
  <si>
    <t>bij afwijkende breedte hangstijl eigen waarde invoeren</t>
  </si>
  <si>
    <t>Berekende onderdelen :</t>
  </si>
  <si>
    <t>RESULTATEN</t>
  </si>
  <si>
    <t xml:space="preserve"> Warmteverlies  onderdeel :</t>
  </si>
  <si>
    <t>Lineair warmteverlies :</t>
  </si>
  <si>
    <t>Bf  randhout raamsparing</t>
  </si>
  <si>
    <t>dekpl.</t>
  </si>
  <si>
    <t>glasr.</t>
  </si>
  <si>
    <t>weld.</t>
  </si>
  <si>
    <t>BW</t>
  </si>
  <si>
    <t>spr.</t>
  </si>
  <si>
    <t>onderd.</t>
  </si>
  <si>
    <t>hangz</t>
  </si>
  <si>
    <t>bovend</t>
  </si>
  <si>
    <t>sluitstijl</t>
  </si>
  <si>
    <t>De Bf van het randhout worden bepaald ahv deurdikte, brandwering en weldorpel</t>
  </si>
  <si>
    <t>De Bf van de SS (sluitstijl) wordt bepaald ahv deurdikte en brandwerendheid</t>
  </si>
  <si>
    <t>std.weld.</t>
  </si>
  <si>
    <t>bw30</t>
  </si>
  <si>
    <t>bw60</t>
  </si>
  <si>
    <t>WX.weld.</t>
  </si>
  <si>
    <t>Gekozen dekpl.</t>
  </si>
  <si>
    <t>zw</t>
  </si>
  <si>
    <t>zw = zelfde waarde</t>
  </si>
  <si>
    <t>na = niet aanwezig</t>
  </si>
  <si>
    <t>niet WX</t>
  </si>
  <si>
    <t>randhout</t>
  </si>
  <si>
    <t>glasrand</t>
  </si>
  <si>
    <t>Bij B30 en B60 alleen mogelijk met kurkvulling, B30 alleen in 39, 54 en 67, B60 alleen in 54 en 67</t>
  </si>
  <si>
    <t xml:space="preserve">Controle wel/niet in BW uitvoering via de sluitstijl. </t>
  </si>
  <si>
    <t xml:space="preserve">Controle op BW-eis via tabel met "na"  </t>
  </si>
  <si>
    <t>breedte randhout om glas</t>
  </si>
  <si>
    <t>Keuze  :</t>
  </si>
  <si>
    <t>bij gekozen deurdikte:</t>
  </si>
  <si>
    <t>datum     : 29-03-2018</t>
  </si>
  <si>
    <t>berekening conform  NTA8800/2022  en  NEN-EN  10077-1:2017  /  NEN-EN 10077-2:2017</t>
  </si>
  <si>
    <t xml:space="preserve"> in te voeren waarde/naam</t>
  </si>
  <si>
    <t xml:space="preserve"> in te voeren keuze</t>
  </si>
  <si>
    <t xml:space="preserve"> uitrekenen ahv het model</t>
  </si>
  <si>
    <t xml:space="preserve"> door programma bepaald</t>
  </si>
  <si>
    <t>XPS</t>
  </si>
  <si>
    <t>Bij WX altijd 165hoog, zonder en met std-weldorpel geen verschil in hoogte. Bij WX slechtere Up vanwege hoge randhout</t>
  </si>
  <si>
    <t xml:space="preserve">Vulling vuren alleen in 39 en 54mm </t>
  </si>
  <si>
    <t>versie      :  4</t>
  </si>
  <si>
    <t>Dit zijn de interne berekening van de gekozen deur-opties:</t>
  </si>
  <si>
    <t xml:space="preserve">MOGELIJKE KEUZEOPTIES  </t>
  </si>
  <si>
    <t>Geluidwerende deur alleen in 54 en 67mm, geen WX maar wel voorziening deurdranger</t>
  </si>
  <si>
    <t>altijd 5mm susplex topplaat</t>
  </si>
  <si>
    <t xml:space="preserve">altijd randhout glasopening type ?? </t>
  </si>
  <si>
    <t>E20</t>
  </si>
  <si>
    <t>E25</t>
  </si>
  <si>
    <t>E26</t>
  </si>
  <si>
    <t>E22</t>
  </si>
  <si>
    <t>E21</t>
  </si>
  <si>
    <t>E50</t>
  </si>
  <si>
    <t xml:space="preserve"> = berekening breedte randhout raamsparing</t>
  </si>
  <si>
    <t xml:space="preserve">Breedte randhout raamsparing afgeleid van deurdikte en T of TX.  (T, TB, TBP hebben allen gelijke Bf) </t>
  </si>
  <si>
    <t>zie bepaling bij W70</t>
  </si>
  <si>
    <t>bepaling breedte randhout deur zie E30-33</t>
  </si>
  <si>
    <t>berekening randhout raamsparing via interne berekening op AK74</t>
  </si>
  <si>
    <t>CALMA</t>
  </si>
  <si>
    <t>geluidwering - CALMA</t>
  </si>
  <si>
    <t>E27</t>
  </si>
  <si>
    <t>E37</t>
  </si>
  <si>
    <t>E51</t>
  </si>
  <si>
    <t>Geluidwering CALMA alleen in deurdikte 54 en 67,  plaat-Susplex , kan met combi brandwering</t>
  </si>
  <si>
    <t>geluidw</t>
  </si>
  <si>
    <t>TC</t>
  </si>
  <si>
    <t>Tricoya</t>
  </si>
  <si>
    <t>PIR/XPS</t>
  </si>
  <si>
    <t>Thermacor</t>
  </si>
  <si>
    <t>rockwool</t>
  </si>
  <si>
    <t>Rm</t>
  </si>
  <si>
    <t>lambda</t>
  </si>
  <si>
    <t>d=</t>
  </si>
  <si>
    <t>39 (5)</t>
  </si>
  <si>
    <t>Up waarden - berekend  via Rc,  Rm waarden  vuling zie tabel</t>
  </si>
  <si>
    <t xml:space="preserve">Rm waarden vulling </t>
  </si>
  <si>
    <t>Meranti</t>
  </si>
  <si>
    <t>Cal</t>
  </si>
  <si>
    <r>
      <t>U</t>
    </r>
    <r>
      <rPr>
        <b/>
        <sz val="9"/>
        <color theme="1"/>
        <rFont val="Calibri"/>
        <family val="2"/>
        <scheme val="minor"/>
      </rPr>
      <t>D</t>
    </r>
    <r>
      <rPr>
        <b/>
        <sz val="12"/>
        <color theme="1"/>
        <rFont val="Calibri"/>
        <family val="2"/>
        <scheme val="minor"/>
      </rPr>
      <t xml:space="preserve"> = </t>
    </r>
  </si>
  <si>
    <t>Bij toepassing in een standaard houten kozijn</t>
  </si>
  <si>
    <t>Afmeting B x H  =  1034 x 2410 mm</t>
  </si>
  <si>
    <t>Kozijnhout afmeting 67 x 114, houtsoort Meranti</t>
  </si>
  <si>
    <t>Kozijndorpel Holonite</t>
  </si>
  <si>
    <t>Bovendorpel</t>
  </si>
  <si>
    <t>stijl</t>
  </si>
  <si>
    <t>neut</t>
  </si>
  <si>
    <t xml:space="preserve">dorpel </t>
  </si>
  <si>
    <t>Bf</t>
  </si>
  <si>
    <t>Uf</t>
  </si>
  <si>
    <t>Lengte</t>
  </si>
  <si>
    <t>Kozijnhoogte</t>
  </si>
  <si>
    <t>=</t>
  </si>
  <si>
    <t>Atot =</t>
  </si>
  <si>
    <t>versiedatum  :  01-04-2025</t>
  </si>
  <si>
    <t>Ufr kozijn:   Ufr-rekentool Uw kozijnen versie 2,0  - NBvT dd 06-01-2020</t>
  </si>
  <si>
    <t>Ufr Holonite: Ufr waarde Trimax laagreliefdorpels dd 30-08-2017</t>
  </si>
  <si>
    <t xml:space="preserve"> UxA</t>
  </si>
  <si>
    <t>W/mK</t>
  </si>
  <si>
    <t xml:space="preserve">  '? </t>
  </si>
  <si>
    <t>thermacore</t>
  </si>
  <si>
    <t>glas</t>
  </si>
  <si>
    <t>Thermacore(5mm dekplaat)</t>
  </si>
  <si>
    <t>SS-CALMA (5mm dekplaat)</t>
  </si>
  <si>
    <t>vulling is gereed</t>
  </si>
  <si>
    <t>glasrand is gereed</t>
  </si>
  <si>
    <t xml:space="preserve">Randhout </t>
  </si>
  <si>
    <t>BD-B30</t>
  </si>
  <si>
    <t>BD-B60</t>
  </si>
  <si>
    <t>OD-CALMA</t>
  </si>
  <si>
    <t>SS-CALMA</t>
  </si>
  <si>
    <t>Werkelijk</t>
  </si>
  <si>
    <t xml:space="preserve">Gekozen: </t>
  </si>
  <si>
    <t>deurdikte:</t>
  </si>
  <si>
    <t>brand</t>
  </si>
  <si>
    <t>geluid</t>
  </si>
  <si>
    <t>Weld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</si>
</sst>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9"/>
      <color rgb="FFC00000"/>
      <name val="Calibri"/>
      <family val="2"/>
      <scheme val="minor"/>
    </font>
    <font>
      <sz val="12"/>
      <color rgb="FF2F2F2F"/>
      <name val="Segoe UI"/>
      <family val="2"/>
    </font>
    <font>
      <sz val="9"/>
      <color rgb="FF2F2F2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DashDot">
        <color auto="1"/>
      </left>
      <right/>
      <top style="mediumDashDot">
        <color auto="1"/>
      </top>
      <bottom style="mediumDashDot">
        <color auto="1"/>
      </bottom>
      <diagonal/>
    </border>
    <border>
      <left/>
      <right/>
      <top style="mediumDashDot">
        <color auto="1"/>
      </top>
      <bottom style="mediumDashDot">
        <color auto="1"/>
      </bottom>
      <diagonal/>
    </border>
    <border>
      <left/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tted">
        <color auto="1"/>
      </top>
      <bottom/>
      <diagonal/>
    </border>
    <border>
      <left style="dotted">
        <color auto="1"/>
      </left>
      <right/>
      <top style="double">
        <color auto="1"/>
      </top>
      <bottom/>
      <diagonal/>
    </border>
    <border>
      <left/>
      <right style="dotted">
        <color auto="1"/>
      </right>
      <top style="double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9">
    <xf numFmtId="0" fontId="0" fillId="0" borderId="0" xfId="0"/>
    <xf numFmtId="16" fontId="0" fillId="0" borderId="0" xfId="0" applyNumberFormat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0" fontId="7" fillId="0" borderId="0" xfId="0" applyFont="1"/>
    <xf numFmtId="0" fontId="0" fillId="0" borderId="5" xfId="0" applyBorder="1"/>
    <xf numFmtId="0" fontId="3" fillId="0" borderId="0" xfId="0" applyFont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3" fillId="0" borderId="9" xfId="0" applyFont="1" applyBorder="1"/>
    <xf numFmtId="0" fontId="12" fillId="0" borderId="0" xfId="0" applyFont="1" applyAlignment="1">
      <alignment horizontal="center"/>
    </xf>
    <xf numFmtId="0" fontId="14" fillId="0" borderId="0" xfId="0" applyFont="1"/>
    <xf numFmtId="2" fontId="2" fillId="0" borderId="0" xfId="0" applyNumberFormat="1" applyFont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2" fontId="2" fillId="0" borderId="0" xfId="0" applyNumberFormat="1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0" fillId="0" borderId="0" xfId="0" applyFont="1"/>
    <xf numFmtId="0" fontId="2" fillId="0" borderId="18" xfId="0" applyFont="1" applyBorder="1"/>
    <xf numFmtId="0" fontId="0" fillId="0" borderId="20" xfId="0" applyBorder="1"/>
    <xf numFmtId="0" fontId="0" fillId="0" borderId="21" xfId="0" applyBorder="1"/>
    <xf numFmtId="164" fontId="2" fillId="0" borderId="18" xfId="0" applyNumberFormat="1" applyFont="1" applyBorder="1" applyAlignment="1">
      <alignment horizontal="center"/>
    </xf>
    <xf numFmtId="0" fontId="2" fillId="6" borderId="0" xfId="0" applyFont="1" applyFill="1"/>
    <xf numFmtId="0" fontId="0" fillId="3" borderId="8" xfId="0" applyFill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164" fontId="16" fillId="0" borderId="0" xfId="0" applyNumberFormat="1" applyFont="1" applyAlignment="1">
      <alignment horizontal="center"/>
    </xf>
    <xf numFmtId="0" fontId="2" fillId="0" borderId="32" xfId="0" applyFont="1" applyBorder="1"/>
    <xf numFmtId="0" fontId="2" fillId="0" borderId="7" xfId="0" applyFont="1" applyBorder="1"/>
    <xf numFmtId="0" fontId="2" fillId="0" borderId="33" xfId="0" applyFont="1" applyBorder="1"/>
    <xf numFmtId="0" fontId="16" fillId="0" borderId="9" xfId="0" applyFont="1" applyBorder="1"/>
    <xf numFmtId="0" fontId="15" fillId="0" borderId="0" xfId="0" applyFont="1"/>
    <xf numFmtId="0" fontId="15" fillId="0" borderId="9" xfId="0" applyFont="1" applyBorder="1"/>
    <xf numFmtId="0" fontId="16" fillId="0" borderId="0" xfId="0" applyFont="1"/>
    <xf numFmtId="0" fontId="2" fillId="4" borderId="31" xfId="0" applyFont="1" applyFill="1" applyBorder="1" applyAlignment="1" applyProtection="1">
      <alignment horizontal="center"/>
      <protection locked="0"/>
    </xf>
    <xf numFmtId="0" fontId="13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18" fillId="0" borderId="0" xfId="0" applyFont="1"/>
    <xf numFmtId="0" fontId="0" fillId="5" borderId="30" xfId="0" applyFill="1" applyBorder="1"/>
    <xf numFmtId="0" fontId="0" fillId="7" borderId="30" xfId="0" applyFill="1" applyBorder="1"/>
    <xf numFmtId="0" fontId="0" fillId="8" borderId="30" xfId="0" applyFill="1" applyBorder="1"/>
    <xf numFmtId="0" fontId="2" fillId="6" borderId="30" xfId="0" applyFont="1" applyFill="1" applyBorder="1"/>
    <xf numFmtId="0" fontId="2" fillId="7" borderId="0" xfId="0" applyFont="1" applyFill="1" applyAlignment="1" applyProtection="1">
      <alignment horizontal="center"/>
      <protection locked="0"/>
    </xf>
    <xf numFmtId="0" fontId="2" fillId="5" borderId="8" xfId="0" applyFont="1" applyFill="1" applyBorder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5" borderId="10" xfId="0" applyFont="1" applyFill="1" applyBorder="1" applyProtection="1">
      <protection locked="0"/>
    </xf>
    <xf numFmtId="0" fontId="2" fillId="5" borderId="10" xfId="0" applyFont="1" applyFill="1" applyBorder="1"/>
    <xf numFmtId="0" fontId="2" fillId="5" borderId="7" xfId="0" applyFont="1" applyFill="1" applyBorder="1" applyProtection="1">
      <protection locked="0"/>
    </xf>
    <xf numFmtId="0" fontId="2" fillId="5" borderId="7" xfId="0" applyFont="1" applyFill="1" applyBorder="1"/>
    <xf numFmtId="0" fontId="0" fillId="7" borderId="0" xfId="0" applyFill="1" applyAlignment="1" applyProtection="1">
      <alignment horizontal="center"/>
      <protection locked="0"/>
    </xf>
    <xf numFmtId="0" fontId="2" fillId="8" borderId="0" xfId="0" applyFont="1" applyFill="1" applyAlignment="1" applyProtection="1">
      <alignment horizontal="center"/>
      <protection locked="0"/>
    </xf>
    <xf numFmtId="0" fontId="2" fillId="8" borderId="31" xfId="0" applyFont="1" applyFill="1" applyBorder="1" applyAlignment="1" applyProtection="1">
      <alignment horizontal="center"/>
      <protection locked="0"/>
    </xf>
    <xf numFmtId="0" fontId="2" fillId="6" borderId="0" xfId="0" applyFont="1" applyFill="1" applyAlignment="1">
      <alignment horizontal="center"/>
    </xf>
    <xf numFmtId="164" fontId="2" fillId="6" borderId="0" xfId="0" applyNumberFormat="1" applyFont="1" applyFill="1" applyAlignment="1">
      <alignment horizontal="center"/>
    </xf>
    <xf numFmtId="164" fontId="2" fillId="6" borderId="4" xfId="0" applyNumberFormat="1" applyFont="1" applyFill="1" applyBorder="1" applyAlignment="1">
      <alignment horizontal="center"/>
    </xf>
    <xf numFmtId="0" fontId="0" fillId="0" borderId="54" xfId="0" applyBorder="1"/>
    <xf numFmtId="0" fontId="0" fillId="0" borderId="55" xfId="0" applyBorder="1"/>
    <xf numFmtId="0" fontId="0" fillId="0" borderId="56" xfId="0" applyBorder="1"/>
    <xf numFmtId="2" fontId="1" fillId="3" borderId="0" xfId="0" applyNumberFormat="1" applyFont="1" applyFill="1" applyAlignment="1">
      <alignment horizontal="center"/>
    </xf>
    <xf numFmtId="0" fontId="18" fillId="0" borderId="21" xfId="0" applyFont="1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5" xfId="0" applyBorder="1" applyAlignment="1">
      <alignment horizontal="center"/>
    </xf>
    <xf numFmtId="0" fontId="0" fillId="0" borderId="60" xfId="0" applyBorder="1"/>
    <xf numFmtId="0" fontId="0" fillId="0" borderId="55" xfId="0" applyBorder="1" applyAlignment="1">
      <alignment horizontal="center"/>
    </xf>
    <xf numFmtId="0" fontId="0" fillId="0" borderId="61" xfId="0" applyBorder="1"/>
    <xf numFmtId="0" fontId="0" fillId="0" borderId="14" xfId="0" applyBorder="1"/>
    <xf numFmtId="2" fontId="0" fillId="0" borderId="0" xfId="0" applyNumberFormat="1" applyAlignment="1">
      <alignment horizontal="center"/>
    </xf>
    <xf numFmtId="0" fontId="0" fillId="0" borderId="62" xfId="0" applyBorder="1"/>
    <xf numFmtId="0" fontId="20" fillId="0" borderId="12" xfId="0" applyFont="1" applyBorder="1"/>
    <xf numFmtId="0" fontId="20" fillId="0" borderId="16" xfId="0" applyFont="1" applyBorder="1"/>
    <xf numFmtId="2" fontId="0" fillId="0" borderId="5" xfId="0" applyNumberFormat="1" applyBorder="1" applyAlignment="1">
      <alignment horizontal="center"/>
    </xf>
    <xf numFmtId="2" fontId="0" fillId="0" borderId="63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" fontId="0" fillId="3" borderId="0" xfId="0" applyNumberFormat="1" applyFill="1" applyAlignment="1">
      <alignment horizontal="center"/>
    </xf>
    <xf numFmtId="0" fontId="18" fillId="6" borderId="0" xfId="0" applyFont="1" applyFill="1" applyAlignment="1">
      <alignment horizontal="center"/>
    </xf>
    <xf numFmtId="164" fontId="18" fillId="6" borderId="0" xfId="0" applyNumberFormat="1" applyFont="1" applyFill="1" applyAlignment="1">
      <alignment horizontal="center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43" xfId="0" applyBorder="1" applyProtection="1">
      <protection hidden="1"/>
    </xf>
    <xf numFmtId="0" fontId="0" fillId="0" borderId="44" xfId="0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center"/>
      <protection hidden="1"/>
    </xf>
    <xf numFmtId="0" fontId="0" fillId="0" borderId="46" xfId="0" applyBorder="1" applyAlignment="1" applyProtection="1">
      <alignment horizontal="center"/>
      <protection hidden="1"/>
    </xf>
    <xf numFmtId="0" fontId="2" fillId="0" borderId="47" xfId="0" applyFont="1" applyBorder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42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8" xfId="0" applyBorder="1" applyAlignment="1" applyProtection="1">
      <alignment horizontal="center"/>
      <protection hidden="1"/>
    </xf>
    <xf numFmtId="0" fontId="0" fillId="0" borderId="39" xfId="0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2" fillId="0" borderId="49" xfId="0" applyFont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2" fillId="0" borderId="45" xfId="0" applyFont="1" applyBorder="1" applyAlignment="1" applyProtection="1">
      <alignment horizontal="center"/>
      <protection hidden="1"/>
    </xf>
    <xf numFmtId="0" fontId="2" fillId="0" borderId="39" xfId="0" applyFont="1" applyBorder="1" applyAlignment="1" applyProtection="1">
      <alignment horizontal="center"/>
      <protection hidden="1"/>
    </xf>
    <xf numFmtId="0" fontId="2" fillId="0" borderId="21" xfId="0" applyFont="1" applyBorder="1" applyAlignment="1" applyProtection="1">
      <alignment horizontal="center"/>
      <protection hidden="1"/>
    </xf>
    <xf numFmtId="0" fontId="18" fillId="0" borderId="42" xfId="0" applyFont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0" fillId="0" borderId="20" xfId="0" applyBorder="1" applyProtection="1">
      <protection hidden="1"/>
    </xf>
    <xf numFmtId="0" fontId="0" fillId="0" borderId="42" xfId="0" applyBorder="1" applyProtection="1">
      <protection hidden="1"/>
    </xf>
    <xf numFmtId="0" fontId="0" fillId="0" borderId="38" xfId="0" applyBorder="1" applyProtection="1">
      <protection hidden="1"/>
    </xf>
    <xf numFmtId="0" fontId="0" fillId="0" borderId="39" xfId="0" applyBorder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24" xfId="0" applyFont="1" applyBorder="1" applyProtection="1">
      <protection hidden="1"/>
    </xf>
    <xf numFmtId="0" fontId="2" fillId="0" borderId="37" xfId="0" applyFont="1" applyBorder="1" applyAlignment="1" applyProtection="1">
      <alignment horizontal="center"/>
      <protection hidden="1"/>
    </xf>
    <xf numFmtId="0" fontId="2" fillId="9" borderId="37" xfId="0" applyFont="1" applyFill="1" applyBorder="1" applyAlignment="1" applyProtection="1">
      <alignment horizontal="center"/>
      <protection hidden="1"/>
    </xf>
    <xf numFmtId="0" fontId="2" fillId="9" borderId="4" xfId="0" applyFont="1" applyFill="1" applyBorder="1" applyProtection="1">
      <protection hidden="1"/>
    </xf>
    <xf numFmtId="0" fontId="2" fillId="0" borderId="40" xfId="0" applyFont="1" applyBorder="1" applyAlignment="1" applyProtection="1">
      <alignment horizontal="center"/>
      <protection hidden="1"/>
    </xf>
    <xf numFmtId="0" fontId="2" fillId="0" borderId="41" xfId="0" applyFont="1" applyBorder="1" applyProtection="1">
      <protection hidden="1"/>
    </xf>
    <xf numFmtId="0" fontId="0" fillId="9" borderId="4" xfId="0" applyFill="1" applyBorder="1" applyProtection="1">
      <protection hidden="1"/>
    </xf>
    <xf numFmtId="0" fontId="0" fillId="9" borderId="4" xfId="0" applyFill="1" applyBorder="1" applyAlignment="1" applyProtection="1">
      <alignment horizontal="center"/>
      <protection hidden="1"/>
    </xf>
    <xf numFmtId="0" fontId="2" fillId="9" borderId="4" xfId="0" applyFont="1" applyFill="1" applyBorder="1" applyAlignment="1" applyProtection="1">
      <alignment horizontal="center"/>
      <protection hidden="1"/>
    </xf>
    <xf numFmtId="0" fontId="0" fillId="9" borderId="40" xfId="0" applyFill="1" applyBorder="1" applyAlignment="1" applyProtection="1">
      <alignment horizontal="center"/>
      <protection hidden="1"/>
    </xf>
    <xf numFmtId="0" fontId="2" fillId="9" borderId="41" xfId="0" applyFont="1" applyFill="1" applyBorder="1" applyAlignment="1" applyProtection="1">
      <alignment horizontal="center"/>
      <protection hidden="1"/>
    </xf>
    <xf numFmtId="0" fontId="2" fillId="9" borderId="25" xfId="0" applyFont="1" applyFill="1" applyBorder="1" applyAlignment="1" applyProtection="1">
      <alignment horizontal="center"/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53" xfId="0" applyBorder="1" applyAlignment="1" applyProtection="1">
      <alignment horizontal="left"/>
      <protection hidden="1"/>
    </xf>
    <xf numFmtId="0" fontId="0" fillId="9" borderId="18" xfId="0" applyFill="1" applyBorder="1" applyProtection="1">
      <protection hidden="1"/>
    </xf>
    <xf numFmtId="0" fontId="2" fillId="9" borderId="18" xfId="0" applyFont="1" applyFill="1" applyBorder="1" applyProtection="1">
      <protection hidden="1"/>
    </xf>
    <xf numFmtId="0" fontId="0" fillId="9" borderId="19" xfId="0" applyFill="1" applyBorder="1" applyProtection="1">
      <protection hidden="1"/>
    </xf>
    <xf numFmtId="0" fontId="0" fillId="0" borderId="6" xfId="0" applyBorder="1" applyProtection="1">
      <protection hidden="1"/>
    </xf>
    <xf numFmtId="0" fontId="0" fillId="0" borderId="21" xfId="0" applyBorder="1" applyProtection="1">
      <protection hidden="1"/>
    </xf>
    <xf numFmtId="0" fontId="0" fillId="0" borderId="24" xfId="0" applyBorder="1" applyProtection="1">
      <protection hidden="1"/>
    </xf>
    <xf numFmtId="0" fontId="0" fillId="0" borderId="4" xfId="0" applyBorder="1" applyProtection="1">
      <protection hidden="1"/>
    </xf>
    <xf numFmtId="0" fontId="2" fillId="0" borderId="4" xfId="0" applyFont="1" applyBorder="1" applyProtection="1">
      <protection hidden="1"/>
    </xf>
    <xf numFmtId="0" fontId="0" fillId="0" borderId="25" xfId="0" applyBorder="1" applyProtection="1">
      <protection hidden="1"/>
    </xf>
    <xf numFmtId="0" fontId="0" fillId="4" borderId="30" xfId="0" applyFill="1" applyBorder="1" applyProtection="1">
      <protection hidden="1"/>
    </xf>
    <xf numFmtId="0" fontId="0" fillId="4" borderId="0" xfId="0" applyFill="1" applyProtection="1">
      <protection hidden="1"/>
    </xf>
    <xf numFmtId="0" fontId="0" fillId="2" borderId="30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3" borderId="30" xfId="0" applyFill="1" applyBorder="1" applyProtection="1">
      <protection hidden="1"/>
    </xf>
    <xf numFmtId="0" fontId="0" fillId="3" borderId="0" xfId="0" applyFill="1" applyProtection="1">
      <protection hidden="1"/>
    </xf>
    <xf numFmtId="164" fontId="0" fillId="4" borderId="5" xfId="0" applyNumberFormat="1" applyFill="1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19" fillId="0" borderId="17" xfId="0" applyFont="1" applyBorder="1" applyProtection="1">
      <protection hidden="1"/>
    </xf>
    <xf numFmtId="0" fontId="19" fillId="0" borderId="18" xfId="0" applyFont="1" applyBorder="1" applyProtection="1">
      <protection hidden="1"/>
    </xf>
    <xf numFmtId="0" fontId="2" fillId="0" borderId="18" xfId="0" applyFont="1" applyBorder="1" applyProtection="1">
      <protection hidden="1"/>
    </xf>
    <xf numFmtId="0" fontId="2" fillId="0" borderId="19" xfId="0" applyFont="1" applyBorder="1" applyProtection="1">
      <protection hidden="1"/>
    </xf>
    <xf numFmtId="0" fontId="2" fillId="0" borderId="20" xfId="0" applyFont="1" applyBorder="1" applyProtection="1">
      <protection hidden="1"/>
    </xf>
    <xf numFmtId="0" fontId="2" fillId="0" borderId="21" xfId="0" applyFont="1" applyBorder="1" applyProtection="1">
      <protection hidden="1"/>
    </xf>
    <xf numFmtId="0" fontId="19" fillId="0" borderId="0" xfId="0" applyFont="1" applyProtection="1">
      <protection hidden="1"/>
    </xf>
    <xf numFmtId="0" fontId="15" fillId="0" borderId="22" xfId="0" applyFont="1" applyBorder="1" applyProtection="1">
      <protection hidden="1"/>
    </xf>
    <xf numFmtId="0" fontId="15" fillId="0" borderId="5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2" fillId="0" borderId="27" xfId="0" applyFont="1" applyBorder="1" applyProtection="1">
      <protection hidden="1"/>
    </xf>
    <xf numFmtId="0" fontId="17" fillId="0" borderId="17" xfId="0" applyFont="1" applyBorder="1" applyProtection="1">
      <protection hidden="1"/>
    </xf>
    <xf numFmtId="0" fontId="2" fillId="0" borderId="17" xfId="0" applyFont="1" applyBorder="1" applyProtection="1">
      <protection hidden="1"/>
    </xf>
    <xf numFmtId="0" fontId="17" fillId="0" borderId="19" xfId="0" applyFont="1" applyBorder="1" applyProtection="1">
      <protection hidden="1"/>
    </xf>
    <xf numFmtId="0" fontId="2" fillId="4" borderId="0" xfId="0" applyFont="1" applyFill="1" applyAlignment="1" applyProtection="1">
      <alignment horizontal="center"/>
      <protection hidden="1"/>
    </xf>
    <xf numFmtId="165" fontId="2" fillId="4" borderId="0" xfId="0" applyNumberFormat="1" applyFont="1" applyFill="1" applyAlignment="1" applyProtection="1">
      <alignment horizontal="center"/>
      <protection hidden="1"/>
    </xf>
    <xf numFmtId="0" fontId="15" fillId="0" borderId="20" xfId="0" applyFont="1" applyBorder="1" applyAlignment="1" applyProtection="1">
      <alignment horizontal="left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13" xfId="0" applyBorder="1" applyProtection="1">
      <protection hidden="1"/>
    </xf>
    <xf numFmtId="0" fontId="17" fillId="3" borderId="21" xfId="0" applyFont="1" applyFill="1" applyBorder="1" applyAlignment="1" applyProtection="1">
      <alignment horizontal="center"/>
      <protection hidden="1"/>
    </xf>
    <xf numFmtId="0" fontId="2" fillId="0" borderId="50" xfId="0" applyFont="1" applyBorder="1" applyProtection="1">
      <protection hidden="1"/>
    </xf>
    <xf numFmtId="0" fontId="2" fillId="0" borderId="29" xfId="0" applyFont="1" applyBorder="1" applyProtection="1">
      <protection hidden="1"/>
    </xf>
    <xf numFmtId="0" fontId="0" fillId="0" borderId="26" xfId="0" applyBorder="1" applyProtection="1">
      <protection hidden="1"/>
    </xf>
    <xf numFmtId="0" fontId="18" fillId="0" borderId="22" xfId="0" applyFont="1" applyBorder="1" applyAlignment="1" applyProtection="1">
      <alignment horizontal="center"/>
      <protection hidden="1"/>
    </xf>
    <xf numFmtId="0" fontId="18" fillId="0" borderId="5" xfId="0" applyFont="1" applyBorder="1" applyAlignment="1" applyProtection="1">
      <alignment horizontal="center"/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15" fillId="3" borderId="20" xfId="0" applyFont="1" applyFill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3" borderId="12" xfId="0" applyFont="1" applyFill="1" applyBorder="1" applyAlignment="1" applyProtection="1">
      <alignment horizontal="center"/>
      <protection hidden="1"/>
    </xf>
    <xf numFmtId="0" fontId="2" fillId="0" borderId="22" xfId="0" applyFont="1" applyBorder="1" applyProtection="1">
      <protection hidden="1"/>
    </xf>
    <xf numFmtId="164" fontId="2" fillId="0" borderId="5" xfId="0" applyNumberFormat="1" applyFont="1" applyBorder="1" applyProtection="1">
      <protection hidden="1"/>
    </xf>
    <xf numFmtId="0" fontId="0" fillId="0" borderId="27" xfId="0" applyBorder="1" applyProtection="1">
      <protection hidden="1"/>
    </xf>
    <xf numFmtId="164" fontId="0" fillId="4" borderId="22" xfId="0" applyNumberFormat="1" applyFill="1" applyBorder="1" applyAlignment="1" applyProtection="1">
      <alignment horizontal="center"/>
      <protection hidden="1"/>
    </xf>
    <xf numFmtId="164" fontId="0" fillId="4" borderId="15" xfId="0" applyNumberFormat="1" applyFill="1" applyBorder="1" applyAlignment="1" applyProtection="1">
      <alignment horizontal="center"/>
      <protection hidden="1"/>
    </xf>
    <xf numFmtId="164" fontId="0" fillId="3" borderId="22" xfId="0" applyNumberFormat="1" applyFill="1" applyBorder="1" applyAlignment="1" applyProtection="1">
      <alignment horizontal="center"/>
      <protection hidden="1"/>
    </xf>
    <xf numFmtId="164" fontId="0" fillId="0" borderId="5" xfId="0" applyNumberFormat="1" applyBorder="1" applyAlignment="1" applyProtection="1">
      <alignment horizontal="center"/>
      <protection hidden="1"/>
    </xf>
    <xf numFmtId="164" fontId="0" fillId="3" borderId="14" xfId="0" applyNumberFormat="1" applyFill="1" applyBorder="1" applyAlignment="1" applyProtection="1">
      <alignment horizontal="center"/>
      <protection hidden="1"/>
    </xf>
    <xf numFmtId="0" fontId="0" fillId="0" borderId="22" xfId="0" applyBorder="1" applyProtection="1">
      <protection hidden="1"/>
    </xf>
    <xf numFmtId="164" fontId="0" fillId="3" borderId="27" xfId="0" applyNumberFormat="1" applyFill="1" applyBorder="1" applyAlignment="1" applyProtection="1">
      <alignment horizontal="center"/>
      <protection hidden="1"/>
    </xf>
    <xf numFmtId="164" fontId="2" fillId="0" borderId="0" xfId="0" applyNumberFormat="1" applyFont="1" applyProtection="1">
      <protection hidden="1"/>
    </xf>
    <xf numFmtId="164" fontId="0" fillId="4" borderId="20" xfId="0" applyNumberFormat="1" applyFill="1" applyBorder="1" applyAlignment="1" applyProtection="1">
      <alignment horizontal="center"/>
      <protection hidden="1"/>
    </xf>
    <xf numFmtId="164" fontId="0" fillId="4" borderId="0" xfId="0" applyNumberFormat="1" applyFill="1" applyAlignment="1" applyProtection="1">
      <alignment horizontal="center"/>
      <protection hidden="1"/>
    </xf>
    <xf numFmtId="164" fontId="0" fillId="3" borderId="20" xfId="0" applyNumberFormat="1" applyFill="1" applyBorder="1" applyAlignment="1" applyProtection="1">
      <alignment horizontal="center"/>
      <protection hidden="1"/>
    </xf>
    <xf numFmtId="164" fontId="0" fillId="3" borderId="12" xfId="0" applyNumberFormat="1" applyFill="1" applyBorder="1" applyAlignment="1" applyProtection="1">
      <alignment horizontal="center"/>
      <protection hidden="1"/>
    </xf>
    <xf numFmtId="164" fontId="0" fillId="3" borderId="21" xfId="0" applyNumberFormat="1" applyFill="1" applyBorder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0" fillId="4" borderId="20" xfId="0" applyFill="1" applyBorder="1" applyAlignment="1" applyProtection="1">
      <alignment horizontal="center"/>
      <protection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2" fillId="0" borderId="23" xfId="0" applyFont="1" applyBorder="1" applyProtection="1">
      <protection hidden="1"/>
    </xf>
    <xf numFmtId="0" fontId="2" fillId="0" borderId="11" xfId="0" applyFont="1" applyBorder="1" applyProtection="1">
      <protection hidden="1"/>
    </xf>
    <xf numFmtId="0" fontId="2" fillId="0" borderId="16" xfId="0" applyFont="1" applyBorder="1" applyProtection="1">
      <protection hidden="1"/>
    </xf>
    <xf numFmtId="0" fontId="0" fillId="0" borderId="11" xfId="0" applyBorder="1" applyAlignment="1" applyProtection="1">
      <alignment horizontal="center"/>
      <protection hidden="1"/>
    </xf>
    <xf numFmtId="0" fontId="2" fillId="0" borderId="12" xfId="0" applyFont="1" applyBorder="1" applyProtection="1">
      <protection hidden="1"/>
    </xf>
    <xf numFmtId="0" fontId="18" fillId="0" borderId="50" xfId="0" applyFont="1" applyBorder="1" applyProtection="1">
      <protection hidden="1"/>
    </xf>
    <xf numFmtId="0" fontId="18" fillId="0" borderId="29" xfId="0" applyFont="1" applyBorder="1" applyProtection="1">
      <protection hidden="1"/>
    </xf>
    <xf numFmtId="0" fontId="0" fillId="0" borderId="29" xfId="0" applyBorder="1" applyProtection="1">
      <protection hidden="1"/>
    </xf>
    <xf numFmtId="0" fontId="0" fillId="0" borderId="23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28" xfId="0" applyBorder="1" applyProtection="1">
      <protection hidden="1"/>
    </xf>
    <xf numFmtId="0" fontId="18" fillId="0" borderId="20" xfId="0" applyFont="1" applyBorder="1" applyAlignment="1" applyProtection="1">
      <alignment horizontal="center"/>
      <protection hidden="1"/>
    </xf>
    <xf numFmtId="1" fontId="18" fillId="0" borderId="0" xfId="0" applyNumberFormat="1" applyFont="1" applyAlignment="1" applyProtection="1">
      <alignment horizontal="center"/>
      <protection hidden="1"/>
    </xf>
    <xf numFmtId="1" fontId="18" fillId="0" borderId="11" xfId="0" applyNumberFormat="1" applyFont="1" applyBorder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/>
      <protection hidden="1"/>
    </xf>
    <xf numFmtId="1" fontId="15" fillId="3" borderId="23" xfId="0" applyNumberFormat="1" applyFont="1" applyFill="1" applyBorder="1" applyAlignment="1" applyProtection="1">
      <alignment horizontal="center"/>
      <protection hidden="1"/>
    </xf>
    <xf numFmtId="1" fontId="0" fillId="0" borderId="11" xfId="0" applyNumberFormat="1" applyBorder="1" applyAlignment="1" applyProtection="1">
      <alignment horizontal="center"/>
      <protection hidden="1"/>
    </xf>
    <xf numFmtId="1" fontId="15" fillId="3" borderId="16" xfId="0" applyNumberFormat="1" applyFont="1" applyFill="1" applyBorder="1" applyAlignment="1" applyProtection="1">
      <alignment horizontal="center"/>
      <protection hidden="1"/>
    </xf>
    <xf numFmtId="0" fontId="2" fillId="0" borderId="28" xfId="0" applyFont="1" applyBorder="1" applyProtection="1">
      <protection hidden="1"/>
    </xf>
    <xf numFmtId="1" fontId="2" fillId="0" borderId="28" xfId="0" applyNumberFormat="1" applyFont="1" applyBorder="1" applyAlignment="1" applyProtection="1">
      <alignment horizontal="center"/>
      <protection hidden="1"/>
    </xf>
    <xf numFmtId="164" fontId="0" fillId="4" borderId="14" xfId="0" applyNumberFormat="1" applyFill="1" applyBorder="1" applyAlignment="1" applyProtection="1">
      <alignment horizontal="center"/>
      <protection hidden="1"/>
    </xf>
    <xf numFmtId="164" fontId="0" fillId="0" borderId="15" xfId="0" applyNumberFormat="1" applyBorder="1" applyAlignment="1" applyProtection="1">
      <alignment horizontal="center"/>
      <protection hidden="1"/>
    </xf>
    <xf numFmtId="164" fontId="0" fillId="3" borderId="5" xfId="0" applyNumberFormat="1" applyFill="1" applyBorder="1" applyAlignment="1" applyProtection="1">
      <alignment horizontal="center"/>
      <protection hidden="1"/>
    </xf>
    <xf numFmtId="0" fontId="7" fillId="0" borderId="22" xfId="0" applyFont="1" applyBorder="1" applyProtection="1">
      <protection hidden="1"/>
    </xf>
    <xf numFmtId="164" fontId="0" fillId="3" borderId="0" xfId="0" applyNumberFormat="1" applyFill="1" applyAlignment="1" applyProtection="1">
      <alignment horizontal="center"/>
      <protection hidden="1"/>
    </xf>
    <xf numFmtId="164" fontId="0" fillId="0" borderId="13" xfId="0" applyNumberFormat="1" applyBorder="1" applyAlignment="1" applyProtection="1">
      <alignment horizontal="center"/>
      <protection hidden="1"/>
    </xf>
    <xf numFmtId="0" fontId="7" fillId="0" borderId="20" xfId="0" applyFont="1" applyBorder="1" applyProtection="1">
      <protection hidden="1"/>
    </xf>
    <xf numFmtId="164" fontId="0" fillId="4" borderId="12" xfId="0" applyNumberFormat="1" applyFill="1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0" fontId="18" fillId="0" borderId="11" xfId="0" applyFont="1" applyBorder="1" applyAlignment="1" applyProtection="1">
      <alignment horizontal="center"/>
      <protection hidden="1"/>
    </xf>
    <xf numFmtId="0" fontId="17" fillId="3" borderId="0" xfId="0" applyFont="1" applyFill="1" applyAlignment="1" applyProtection="1">
      <alignment horizontal="center"/>
      <protection hidden="1"/>
    </xf>
    <xf numFmtId="0" fontId="17" fillId="3" borderId="21" xfId="0" applyFont="1" applyFill="1" applyBorder="1" applyProtection="1">
      <protection hidden="1"/>
    </xf>
    <xf numFmtId="0" fontId="21" fillId="0" borderId="20" xfId="0" applyFont="1" applyBorder="1" applyProtection="1">
      <protection hidden="1"/>
    </xf>
    <xf numFmtId="1" fontId="2" fillId="0" borderId="21" xfId="0" applyNumberFormat="1" applyFont="1" applyBorder="1" applyAlignment="1" applyProtection="1">
      <alignment horizontal="center"/>
      <protection hidden="1"/>
    </xf>
    <xf numFmtId="0" fontId="2" fillId="0" borderId="22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0" fillId="4" borderId="22" xfId="0" applyFill="1" applyBorder="1" applyProtection="1">
      <protection hidden="1"/>
    </xf>
    <xf numFmtId="0" fontId="0" fillId="4" borderId="14" xfId="0" applyFill="1" applyBorder="1" applyAlignment="1" applyProtection="1">
      <alignment horizontal="center"/>
      <protection hidden="1"/>
    </xf>
    <xf numFmtId="0" fontId="0" fillId="0" borderId="5" xfId="0" applyBorder="1" applyProtection="1">
      <protection hidden="1"/>
    </xf>
    <xf numFmtId="0" fontId="2" fillId="0" borderId="20" xfId="0" applyFont="1" applyBorder="1" applyAlignment="1" applyProtection="1">
      <alignment horizontal="center"/>
      <protection hidden="1"/>
    </xf>
    <xf numFmtId="0" fontId="0" fillId="4" borderId="20" xfId="0" applyFill="1" applyBorder="1" applyProtection="1">
      <protection hidden="1"/>
    </xf>
    <xf numFmtId="0" fontId="2" fillId="0" borderId="23" xfId="0" applyFont="1" applyBorder="1" applyAlignment="1" applyProtection="1">
      <alignment horizontal="center"/>
      <protection hidden="1"/>
    </xf>
    <xf numFmtId="0" fontId="2" fillId="0" borderId="28" xfId="0" applyFont="1" applyBorder="1" applyAlignment="1" applyProtection="1">
      <alignment horizontal="center"/>
      <protection hidden="1"/>
    </xf>
    <xf numFmtId="0" fontId="0" fillId="4" borderId="23" xfId="0" applyFill="1" applyBorder="1" applyAlignment="1" applyProtection="1">
      <alignment horizontal="center"/>
      <protection hidden="1"/>
    </xf>
    <xf numFmtId="164" fontId="0" fillId="4" borderId="11" xfId="0" applyNumberFormat="1" applyFill="1" applyBorder="1" applyAlignment="1" applyProtection="1">
      <alignment horizontal="center"/>
      <protection hidden="1"/>
    </xf>
    <xf numFmtId="0" fontId="0" fillId="4" borderId="16" xfId="0" applyFill="1" applyBorder="1" applyAlignment="1" applyProtection="1">
      <alignment horizontal="center"/>
      <protection hidden="1"/>
    </xf>
    <xf numFmtId="164" fontId="0" fillId="3" borderId="28" xfId="0" applyNumberFormat="1" applyFill="1" applyBorder="1" applyAlignment="1" applyProtection="1">
      <alignment horizontal="center"/>
      <protection hidden="1"/>
    </xf>
    <xf numFmtId="164" fontId="0" fillId="4" borderId="13" xfId="0" applyNumberFormat="1" applyFill="1" applyBorder="1" applyAlignment="1" applyProtection="1">
      <alignment horizontal="center"/>
      <protection hidden="1"/>
    </xf>
    <xf numFmtId="164" fontId="0" fillId="3" borderId="23" xfId="0" applyNumberFormat="1" applyFill="1" applyBorder="1" applyAlignment="1" applyProtection="1">
      <alignment horizontal="center"/>
      <protection hidden="1"/>
    </xf>
    <xf numFmtId="164" fontId="0" fillId="3" borderId="16" xfId="0" applyNumberFormat="1" applyFill="1" applyBorder="1" applyAlignment="1" applyProtection="1">
      <alignment horizontal="center"/>
      <protection hidden="1"/>
    </xf>
    <xf numFmtId="165" fontId="2" fillId="0" borderId="0" xfId="0" applyNumberFormat="1" applyFont="1" applyProtection="1">
      <protection hidden="1"/>
    </xf>
    <xf numFmtId="0" fontId="0" fillId="0" borderId="25" xfId="0" applyBorder="1" applyAlignment="1" applyProtection="1">
      <alignment horizontal="center"/>
      <protection hidden="1"/>
    </xf>
    <xf numFmtId="1" fontId="0" fillId="3" borderId="51" xfId="0" applyNumberFormat="1" applyFill="1" applyBorder="1" applyAlignment="1" applyProtection="1">
      <alignment horizontal="center"/>
      <protection hidden="1"/>
    </xf>
    <xf numFmtId="0" fontId="15" fillId="0" borderId="18" xfId="0" applyFont="1" applyBorder="1" applyProtection="1">
      <protection hidden="1"/>
    </xf>
    <xf numFmtId="0" fontId="0" fillId="6" borderId="19" xfId="0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" fontId="0" fillId="3" borderId="52" xfId="0" applyNumberFormat="1" applyFill="1" applyBorder="1" applyAlignment="1" applyProtection="1">
      <alignment horizontal="center"/>
      <protection hidden="1"/>
    </xf>
    <xf numFmtId="1" fontId="0" fillId="3" borderId="21" xfId="0" applyNumberFormat="1" applyFill="1" applyBorder="1" applyAlignment="1" applyProtection="1">
      <alignment horizontal="center"/>
      <protection hidden="1"/>
    </xf>
    <xf numFmtId="0" fontId="0" fillId="0" borderId="50" xfId="0" applyBorder="1" applyProtection="1">
      <protection hidden="1"/>
    </xf>
    <xf numFmtId="0" fontId="18" fillId="0" borderId="50" xfId="0" applyFont="1" applyBorder="1" applyAlignment="1" applyProtection="1">
      <alignment horizontal="center"/>
      <protection hidden="1"/>
    </xf>
    <xf numFmtId="1" fontId="18" fillId="0" borderId="29" xfId="0" applyNumberFormat="1" applyFont="1" applyBorder="1" applyAlignment="1" applyProtection="1">
      <alignment horizontal="center"/>
      <protection hidden="1"/>
    </xf>
    <xf numFmtId="0" fontId="15" fillId="6" borderId="11" xfId="0" applyFont="1" applyFill="1" applyBorder="1" applyAlignment="1" applyProtection="1">
      <alignment horizontal="center"/>
      <protection hidden="1"/>
    </xf>
    <xf numFmtId="0" fontId="0" fillId="6" borderId="11" xfId="0" applyFill="1" applyBorder="1" applyProtection="1">
      <protection hidden="1"/>
    </xf>
    <xf numFmtId="0" fontId="18" fillId="6" borderId="11" xfId="0" applyFont="1" applyFill="1" applyBorder="1" applyProtection="1">
      <protection hidden="1"/>
    </xf>
    <xf numFmtId="0" fontId="18" fillId="0" borderId="20" xfId="0" applyFont="1" applyBorder="1" applyProtection="1">
      <protection hidden="1"/>
    </xf>
    <xf numFmtId="1" fontId="0" fillId="0" borderId="0" xfId="0" applyNumberForma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1" fontId="0" fillId="6" borderId="21" xfId="0" applyNumberFormat="1" applyFill="1" applyBorder="1" applyAlignment="1" applyProtection="1">
      <alignment horizontal="center"/>
      <protection hidden="1"/>
    </xf>
    <xf numFmtId="1" fontId="0" fillId="0" borderId="5" xfId="0" applyNumberFormat="1" applyBorder="1" applyAlignment="1" applyProtection="1">
      <alignment horizontal="center"/>
      <protection hidden="1"/>
    </xf>
    <xf numFmtId="0" fontId="7" fillId="0" borderId="5" xfId="0" applyFont="1" applyBorder="1" applyProtection="1">
      <protection hidden="1"/>
    </xf>
    <xf numFmtId="1" fontId="0" fillId="3" borderId="27" xfId="0" applyNumberFormat="1" applyFill="1" applyBorder="1" applyAlignment="1" applyProtection="1">
      <alignment horizontal="center"/>
      <protection hidden="1"/>
    </xf>
    <xf numFmtId="0" fontId="7" fillId="0" borderId="11" xfId="0" applyFont="1" applyBorder="1" applyProtection="1">
      <protection hidden="1"/>
    </xf>
    <xf numFmtId="1" fontId="2" fillId="0" borderId="0" xfId="0" applyNumberFormat="1" applyFont="1" applyAlignment="1" applyProtection="1">
      <alignment horizontal="center"/>
      <protection hidden="1"/>
    </xf>
    <xf numFmtId="0" fontId="18" fillId="0" borderId="18" xfId="0" applyFont="1" applyBorder="1" applyProtection="1">
      <protection hidden="1"/>
    </xf>
    <xf numFmtId="1" fontId="0" fillId="0" borderId="18" xfId="0" applyNumberFormat="1" applyBorder="1" applyAlignment="1" applyProtection="1">
      <alignment horizontal="center"/>
      <protection hidden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200943</xdr:colOff>
      <xdr:row>2</xdr:row>
      <xdr:rowOff>10583</xdr:rowOff>
    </xdr:from>
    <xdr:to>
      <xdr:col>15</xdr:col>
      <xdr:colOff>437514</xdr:colOff>
      <xdr:row>4</xdr:row>
      <xdr:rowOff>174382</xdr:rowOff>
    </xdr:to>
    <xdr:pic>
      <xdr:nvPicPr>
        <xdr:cNvPr id="4" name="Picture 2" descr="C:\Users\Gerard\Documents\LIMUCO\Brief  - factuur - logos\100609 Limuco_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56776" y="201083"/>
          <a:ext cx="1697071" cy="523632"/>
        </a:xfrm>
        <a:prstGeom prst="rect">
          <a:avLst/>
        </a:prstGeom>
        <a:noFill/>
        <a:ln w="3175">
          <a:solidFill>
            <a:schemeClr val="accent1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114300</xdr:rowOff>
    </xdr:from>
    <xdr:to>
      <xdr:col>5</xdr:col>
      <xdr:colOff>533603</xdr:colOff>
      <xdr:row>5</xdr:row>
      <xdr:rowOff>58632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1448A5BA-4477-4BBA-B018-CEC2BBFA0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3276803" cy="899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AV95"/>
  <sheetViews>
    <sheetView tabSelected="1" zoomScale="115" zoomScaleNormal="115" workbookViewId="0">
      <selection activeCell="I23" sqref="I23"/>
    </sheetView>
  </sheetViews>
  <sheetFormatPr defaultRowHeight="14.5" x14ac:dyDescent="0.35"/>
  <cols>
    <col min="1" max="1" width="4" customWidth="1"/>
    <col min="2" max="2" width="14.81640625" customWidth="1"/>
    <col min="3" max="3" width="7.453125" customWidth="1"/>
    <col min="4" max="4" width="4.54296875" customWidth="1"/>
    <col min="5" max="5" width="9.1796875" customWidth="1"/>
    <col min="6" max="6" width="8.7265625" customWidth="1"/>
    <col min="7" max="7" width="7.453125" customWidth="1"/>
    <col min="8" max="8" width="4.81640625" customWidth="1"/>
    <col min="9" max="9" width="9.453125" customWidth="1"/>
    <col min="10" max="10" width="5.7265625" customWidth="1"/>
    <col min="11" max="11" width="7.81640625" customWidth="1"/>
    <col min="12" max="12" width="9.81640625" customWidth="1"/>
    <col min="13" max="13" width="3.1796875" customWidth="1"/>
    <col min="14" max="14" width="9.54296875" customWidth="1"/>
    <col min="15" max="15" width="8.54296875" customWidth="1"/>
    <col min="16" max="16" width="6.81640625" customWidth="1"/>
    <col min="17" max="17" width="3.81640625" style="88" hidden="1" customWidth="1"/>
    <col min="18" max="18" width="1.7265625" style="88" hidden="1" customWidth="1"/>
    <col min="19" max="19" width="4.26953125" style="88" hidden="1" customWidth="1"/>
    <col min="20" max="22" width="5.7265625" style="88" hidden="1" customWidth="1"/>
    <col min="23" max="23" width="6.453125" style="88" hidden="1" customWidth="1"/>
    <col min="24" max="24" width="6.7265625" style="88" hidden="1" customWidth="1"/>
    <col min="25" max="25" width="7" style="88" hidden="1" customWidth="1"/>
    <col min="26" max="26" width="7.26953125" style="88" hidden="1" customWidth="1"/>
    <col min="27" max="27" width="6.1796875" style="88" hidden="1" customWidth="1"/>
    <col min="28" max="29" width="6.7265625" style="88" hidden="1" customWidth="1"/>
    <col min="30" max="30" width="6.26953125" style="88" hidden="1" customWidth="1"/>
    <col min="31" max="31" width="7.1796875" style="88" hidden="1" customWidth="1"/>
    <col min="32" max="32" width="4" style="88" hidden="1" customWidth="1"/>
    <col min="33" max="33" width="8" style="88" hidden="1" customWidth="1"/>
    <col min="34" max="34" width="5.26953125" style="88" hidden="1" customWidth="1"/>
    <col min="35" max="35" width="6.7265625" style="88" hidden="1" customWidth="1"/>
    <col min="36" max="36" width="5.1796875" style="88" hidden="1" customWidth="1"/>
    <col min="37" max="37" width="4.453125" style="88" hidden="1" customWidth="1"/>
    <col min="38" max="38" width="13.453125" style="88" hidden="1" customWidth="1"/>
    <col min="39" max="39" width="4.1796875" style="88" hidden="1" customWidth="1"/>
    <col min="40" max="40" width="5.453125" style="88" hidden="1" customWidth="1"/>
    <col min="41" max="41" width="4.1796875" style="88" hidden="1" customWidth="1"/>
    <col min="42" max="42" width="4.7265625" style="88" hidden="1" customWidth="1"/>
    <col min="43" max="43" width="4.81640625" style="88" hidden="1" customWidth="1"/>
    <col min="44" max="44" width="5" style="88" hidden="1" customWidth="1"/>
    <col min="45" max="45" width="8.81640625" style="88" hidden="1" customWidth="1"/>
    <col min="46" max="46" width="3.453125" style="88" hidden="1" customWidth="1"/>
    <col min="47" max="47" width="5.7265625" style="88" hidden="1" customWidth="1"/>
    <col min="48" max="48" width="7.453125" style="88" hidden="1" customWidth="1"/>
    <col min="49" max="50" width="8.7265625" customWidth="1"/>
  </cols>
  <sheetData>
    <row r="1" spans="1:44" ht="15" thickBot="1" x14ac:dyDescent="0.4">
      <c r="S1" s="89" t="s">
        <v>171</v>
      </c>
      <c r="T1" s="89" t="s">
        <v>172</v>
      </c>
      <c r="U1" s="89" t="s">
        <v>173</v>
      </c>
      <c r="V1" s="89" t="s">
        <v>184</v>
      </c>
      <c r="W1" s="89" t="s">
        <v>174</v>
      </c>
      <c r="X1" s="89" t="s">
        <v>175</v>
      </c>
      <c r="Y1" s="89" t="s">
        <v>185</v>
      </c>
      <c r="Z1" s="89"/>
      <c r="AA1" s="89"/>
      <c r="AB1" s="89"/>
      <c r="AC1" s="89"/>
      <c r="AD1" s="89"/>
      <c r="AE1" s="89" t="s">
        <v>176</v>
      </c>
      <c r="AF1" s="89" t="s">
        <v>186</v>
      </c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</row>
    <row r="2" spans="1:44" ht="15" thickTop="1" x14ac:dyDescent="0.35">
      <c r="S2" s="90" t="s">
        <v>73</v>
      </c>
      <c r="T2" s="91" t="s">
        <v>74</v>
      </c>
      <c r="U2" s="91" t="s">
        <v>201</v>
      </c>
      <c r="V2" s="91" t="s">
        <v>79</v>
      </c>
      <c r="W2" s="91" t="s">
        <v>71</v>
      </c>
      <c r="X2" s="91" t="s">
        <v>88</v>
      </c>
      <c r="Y2" s="91" t="s">
        <v>224</v>
      </c>
      <c r="Z2" s="91" t="s">
        <v>95</v>
      </c>
      <c r="AA2" s="91">
        <v>39</v>
      </c>
      <c r="AB2" s="91">
        <v>54</v>
      </c>
      <c r="AC2" s="91">
        <v>67</v>
      </c>
      <c r="AD2" s="91">
        <v>82</v>
      </c>
      <c r="AE2" s="91" t="s">
        <v>93</v>
      </c>
      <c r="AF2" s="91" t="s">
        <v>99</v>
      </c>
      <c r="AG2" s="92" t="s">
        <v>133</v>
      </c>
      <c r="AH2" s="93">
        <v>39</v>
      </c>
      <c r="AI2" s="94" t="s">
        <v>140</v>
      </c>
      <c r="AJ2" s="95">
        <v>54</v>
      </c>
      <c r="AK2" s="94" t="s">
        <v>140</v>
      </c>
      <c r="AL2" s="96" t="s">
        <v>141</v>
      </c>
      <c r="AM2" s="91">
        <v>67</v>
      </c>
      <c r="AN2" s="94" t="s">
        <v>140</v>
      </c>
      <c r="AO2" s="94" t="s">
        <v>141</v>
      </c>
      <c r="AP2" s="95">
        <v>82</v>
      </c>
      <c r="AQ2" s="94" t="s">
        <v>140</v>
      </c>
      <c r="AR2" s="97" t="s">
        <v>141</v>
      </c>
    </row>
    <row r="3" spans="1:44" x14ac:dyDescent="0.35">
      <c r="S3" s="98">
        <v>39</v>
      </c>
      <c r="T3" s="99" t="s">
        <v>75</v>
      </c>
      <c r="U3" s="99" t="s">
        <v>100</v>
      </c>
      <c r="V3" s="99" t="s">
        <v>53</v>
      </c>
      <c r="W3" s="99" t="s">
        <v>162</v>
      </c>
      <c r="X3" s="99" t="s">
        <v>105</v>
      </c>
      <c r="Y3" s="99" t="s">
        <v>38</v>
      </c>
      <c r="Z3" s="99" t="s">
        <v>92</v>
      </c>
      <c r="AA3" s="100">
        <v>55</v>
      </c>
      <c r="AB3" s="100">
        <v>46</v>
      </c>
      <c r="AC3" s="100">
        <v>55</v>
      </c>
      <c r="AD3" s="100">
        <v>50</v>
      </c>
      <c r="AE3" s="101">
        <v>0.08</v>
      </c>
      <c r="AF3" s="102" t="s">
        <v>100</v>
      </c>
      <c r="AG3" s="88" t="s">
        <v>134</v>
      </c>
      <c r="AH3" s="100">
        <v>76</v>
      </c>
      <c r="AI3" s="103" t="s">
        <v>144</v>
      </c>
      <c r="AJ3" s="104">
        <v>55</v>
      </c>
      <c r="AK3" s="103" t="s">
        <v>144</v>
      </c>
      <c r="AL3" s="105" t="s">
        <v>144</v>
      </c>
      <c r="AM3" s="106">
        <v>51</v>
      </c>
      <c r="AN3" s="103" t="s">
        <v>144</v>
      </c>
      <c r="AO3" s="103" t="s">
        <v>144</v>
      </c>
      <c r="AP3" s="104">
        <v>69</v>
      </c>
      <c r="AQ3" s="103" t="s">
        <v>108</v>
      </c>
      <c r="AR3" s="107" t="s">
        <v>108</v>
      </c>
    </row>
    <row r="4" spans="1:44" x14ac:dyDescent="0.35">
      <c r="S4" s="98">
        <v>54</v>
      </c>
      <c r="T4" s="99" t="s">
        <v>76</v>
      </c>
      <c r="U4" s="99" t="s">
        <v>59</v>
      </c>
      <c r="V4" s="99" t="s">
        <v>80</v>
      </c>
      <c r="W4" s="99" t="s">
        <v>106</v>
      </c>
      <c r="X4" s="99" t="s">
        <v>70</v>
      </c>
      <c r="Y4" s="99" t="s">
        <v>41</v>
      </c>
      <c r="Z4" s="99" t="s">
        <v>91</v>
      </c>
      <c r="AA4" s="100">
        <v>76</v>
      </c>
      <c r="AB4" s="100">
        <v>55</v>
      </c>
      <c r="AC4" s="100">
        <v>51</v>
      </c>
      <c r="AD4" s="100">
        <v>69</v>
      </c>
      <c r="AE4" s="101">
        <v>0.06</v>
      </c>
      <c r="AF4" s="102" t="s">
        <v>59</v>
      </c>
      <c r="AG4" s="88" t="s">
        <v>135</v>
      </c>
      <c r="AH4" s="100">
        <v>76</v>
      </c>
      <c r="AI4" s="89" t="s">
        <v>144</v>
      </c>
      <c r="AJ4" s="101">
        <v>55</v>
      </c>
      <c r="AK4" s="89">
        <v>83</v>
      </c>
      <c r="AL4" s="108">
        <v>110</v>
      </c>
      <c r="AM4" s="100">
        <v>51</v>
      </c>
      <c r="AN4" s="89">
        <v>89</v>
      </c>
      <c r="AO4" s="89">
        <v>102</v>
      </c>
      <c r="AP4" s="101">
        <v>69</v>
      </c>
      <c r="AQ4" s="89" t="s">
        <v>108</v>
      </c>
      <c r="AR4" s="109" t="s">
        <v>108</v>
      </c>
    </row>
    <row r="5" spans="1:44" ht="32.5" customHeight="1" x14ac:dyDescent="0.35">
      <c r="S5" s="98">
        <v>67</v>
      </c>
      <c r="T5" s="99" t="s">
        <v>77</v>
      </c>
      <c r="U5" s="99"/>
      <c r="V5" s="99" t="s">
        <v>75</v>
      </c>
      <c r="W5" s="99" t="s">
        <v>81</v>
      </c>
      <c r="X5" s="99"/>
      <c r="Y5" s="99" t="s">
        <v>189</v>
      </c>
      <c r="Z5" s="99"/>
      <c r="AA5" s="100"/>
      <c r="AB5" s="100"/>
      <c r="AC5" s="100"/>
      <c r="AD5" s="100"/>
      <c r="AE5" s="101">
        <v>0.04</v>
      </c>
      <c r="AF5" s="102"/>
      <c r="AG5" s="88" t="s">
        <v>133</v>
      </c>
      <c r="AH5" s="100">
        <v>76</v>
      </c>
      <c r="AI5" s="89" t="s">
        <v>144</v>
      </c>
      <c r="AJ5" s="101">
        <v>55</v>
      </c>
      <c r="AK5" s="89" t="s">
        <v>144</v>
      </c>
      <c r="AL5" s="108" t="s">
        <v>144</v>
      </c>
      <c r="AM5" s="100">
        <v>89</v>
      </c>
      <c r="AN5" s="89" t="s">
        <v>144</v>
      </c>
      <c r="AO5" s="89" t="s">
        <v>144</v>
      </c>
      <c r="AP5" s="101">
        <v>69</v>
      </c>
      <c r="AQ5" s="89" t="s">
        <v>108</v>
      </c>
      <c r="AR5" s="109" t="s">
        <v>108</v>
      </c>
    </row>
    <row r="6" spans="1:44" ht="30.65" customHeight="1" x14ac:dyDescent="0.6">
      <c r="A6" s="2" t="s">
        <v>103</v>
      </c>
      <c r="L6" s="19" t="s">
        <v>13</v>
      </c>
      <c r="S6" s="98">
        <v>82</v>
      </c>
      <c r="T6" s="110" t="s">
        <v>182</v>
      </c>
      <c r="U6" s="110"/>
      <c r="V6" s="99"/>
      <c r="W6" s="99" t="s">
        <v>223</v>
      </c>
      <c r="X6" s="99"/>
      <c r="Y6" s="99" t="s">
        <v>13</v>
      </c>
      <c r="Z6" s="99"/>
      <c r="AA6" s="100"/>
      <c r="AB6" s="100"/>
      <c r="AC6" s="100"/>
      <c r="AD6" s="100"/>
      <c r="AE6" s="101"/>
      <c r="AF6" s="102"/>
      <c r="AG6" s="111" t="s">
        <v>139</v>
      </c>
      <c r="AH6" s="100" t="s">
        <v>144</v>
      </c>
      <c r="AI6" s="89" t="s">
        <v>144</v>
      </c>
      <c r="AJ6" s="101" t="s">
        <v>144</v>
      </c>
      <c r="AK6" s="89" t="s">
        <v>144</v>
      </c>
      <c r="AL6" s="108" t="s">
        <v>144</v>
      </c>
      <c r="AM6" s="100" t="s">
        <v>144</v>
      </c>
      <c r="AN6" s="89" t="s">
        <v>144</v>
      </c>
      <c r="AO6" s="89" t="s">
        <v>144</v>
      </c>
      <c r="AP6" s="101" t="s">
        <v>144</v>
      </c>
      <c r="AQ6" s="89" t="s">
        <v>108</v>
      </c>
      <c r="AR6" s="109" t="s">
        <v>108</v>
      </c>
    </row>
    <row r="7" spans="1:44" x14ac:dyDescent="0.35">
      <c r="A7" t="s">
        <v>157</v>
      </c>
      <c r="S7" s="112"/>
      <c r="T7" s="113"/>
      <c r="U7" s="113"/>
      <c r="V7" s="113"/>
      <c r="W7" s="113" t="s">
        <v>222</v>
      </c>
      <c r="X7" s="113"/>
      <c r="Y7" s="113"/>
      <c r="Z7" s="113"/>
      <c r="AE7" s="114"/>
      <c r="AF7" s="115"/>
      <c r="AG7" s="111" t="s">
        <v>142</v>
      </c>
      <c r="AH7" s="116" t="s">
        <v>147</v>
      </c>
      <c r="AI7" s="116" t="s">
        <v>108</v>
      </c>
      <c r="AJ7" s="101">
        <v>165</v>
      </c>
      <c r="AK7" s="89" t="s">
        <v>144</v>
      </c>
      <c r="AL7" s="108" t="s">
        <v>144</v>
      </c>
      <c r="AM7" s="100">
        <v>165</v>
      </c>
      <c r="AN7" s="89" t="s">
        <v>144</v>
      </c>
      <c r="AO7" s="117" t="s">
        <v>144</v>
      </c>
      <c r="AP7" s="101">
        <v>165</v>
      </c>
      <c r="AQ7" s="89" t="s">
        <v>108</v>
      </c>
      <c r="AR7" s="109" t="s">
        <v>108</v>
      </c>
    </row>
    <row r="8" spans="1:44" ht="15" thickBot="1" x14ac:dyDescent="0.4">
      <c r="A8" t="s">
        <v>156</v>
      </c>
      <c r="D8" s="1"/>
      <c r="F8" t="s">
        <v>13</v>
      </c>
      <c r="S8" s="118" t="s">
        <v>9</v>
      </c>
      <c r="T8" s="119" t="s">
        <v>131</v>
      </c>
      <c r="U8" s="119" t="s">
        <v>188</v>
      </c>
      <c r="V8" s="119" t="s">
        <v>130</v>
      </c>
      <c r="W8" s="119" t="s">
        <v>11</v>
      </c>
      <c r="X8" s="119" t="s">
        <v>128</v>
      </c>
      <c r="Y8" s="119" t="s">
        <v>129</v>
      </c>
      <c r="Z8" s="120" t="s">
        <v>129</v>
      </c>
      <c r="AA8" s="121" t="s">
        <v>127</v>
      </c>
      <c r="AB8" s="121"/>
      <c r="AC8" s="121"/>
      <c r="AD8" s="121"/>
      <c r="AE8" s="122" t="s">
        <v>8</v>
      </c>
      <c r="AF8" s="123" t="s">
        <v>132</v>
      </c>
      <c r="AG8" s="124" t="s">
        <v>136</v>
      </c>
      <c r="AH8" s="125">
        <v>164</v>
      </c>
      <c r="AI8" s="126">
        <v>168</v>
      </c>
      <c r="AJ8" s="127">
        <v>139</v>
      </c>
      <c r="AK8" s="126" t="s">
        <v>144</v>
      </c>
      <c r="AL8" s="128" t="s">
        <v>144</v>
      </c>
      <c r="AM8" s="124">
        <v>102</v>
      </c>
      <c r="AN8" s="126" t="s">
        <v>144</v>
      </c>
      <c r="AO8" s="121" t="s">
        <v>144</v>
      </c>
      <c r="AP8" s="127">
        <v>102</v>
      </c>
      <c r="AQ8" s="126" t="s">
        <v>108</v>
      </c>
      <c r="AR8" s="129" t="s">
        <v>108</v>
      </c>
    </row>
    <row r="9" spans="1:44" ht="15.5" thickTop="1" thickBot="1" x14ac:dyDescent="0.4">
      <c r="A9" t="s">
        <v>165</v>
      </c>
      <c r="D9" s="1"/>
      <c r="F9" t="s">
        <v>217</v>
      </c>
      <c r="S9" s="130"/>
      <c r="T9" s="131"/>
      <c r="U9" s="131"/>
      <c r="V9" s="132" t="s">
        <v>167</v>
      </c>
      <c r="W9" s="131"/>
      <c r="X9" s="131"/>
      <c r="Y9" s="131"/>
      <c r="Z9" s="133"/>
      <c r="AA9" s="134" t="s">
        <v>179</v>
      </c>
      <c r="AB9" s="134"/>
      <c r="AC9" s="134"/>
      <c r="AD9" s="133"/>
      <c r="AE9" s="131"/>
      <c r="AF9" s="131"/>
      <c r="AG9" s="133"/>
      <c r="AH9" s="134" t="s">
        <v>180</v>
      </c>
      <c r="AI9" s="133"/>
      <c r="AJ9" s="133"/>
      <c r="AK9" s="133"/>
      <c r="AL9" s="133"/>
      <c r="AM9" s="133"/>
      <c r="AN9" s="133"/>
      <c r="AO9" s="133"/>
      <c r="AP9" s="133"/>
      <c r="AQ9" s="133"/>
      <c r="AR9" s="135"/>
    </row>
    <row r="10" spans="1:44" ht="15" thickBot="1" x14ac:dyDescent="0.4">
      <c r="A10" s="3" t="s">
        <v>26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  <c r="Q10" s="136" t="s">
        <v>13</v>
      </c>
      <c r="S10" s="112"/>
      <c r="AL10" s="117" t="s">
        <v>145</v>
      </c>
      <c r="AR10" s="137"/>
    </row>
    <row r="11" spans="1:44" ht="15" thickBot="1" x14ac:dyDescent="0.4">
      <c r="A11" s="6" t="s">
        <v>13</v>
      </c>
      <c r="B11" s="6" t="s">
        <v>27</v>
      </c>
      <c r="C11" s="6"/>
      <c r="D11" s="6"/>
      <c r="E11" s="55" t="s">
        <v>13</v>
      </c>
      <c r="F11" s="56"/>
      <c r="G11" s="56"/>
      <c r="H11" s="56"/>
      <c r="I11" s="6"/>
      <c r="J11" s="6"/>
      <c r="K11" s="6"/>
      <c r="L11" s="6"/>
      <c r="M11" s="6"/>
      <c r="N11" s="6"/>
      <c r="S11" s="138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40" t="s">
        <v>146</v>
      </c>
      <c r="AM11" s="139"/>
      <c r="AN11" s="139"/>
      <c r="AO11" s="139"/>
      <c r="AP11" s="139"/>
      <c r="AQ11" s="139"/>
      <c r="AR11" s="141"/>
    </row>
    <row r="12" spans="1:44" ht="15" thickTop="1" x14ac:dyDescent="0.35">
      <c r="A12" s="6"/>
      <c r="B12" s="6" t="s">
        <v>28</v>
      </c>
      <c r="C12" s="6"/>
      <c r="D12" s="6"/>
      <c r="E12" s="57" t="s">
        <v>13</v>
      </c>
      <c r="F12" s="58"/>
      <c r="G12" s="58"/>
      <c r="H12" s="58"/>
      <c r="I12" s="6"/>
      <c r="J12" s="6"/>
      <c r="K12" s="6"/>
      <c r="L12" s="22" t="s">
        <v>13</v>
      </c>
      <c r="M12" s="6"/>
      <c r="N12" s="6"/>
      <c r="T12" s="142"/>
      <c r="U12" s="143"/>
      <c r="V12" s="88" t="s">
        <v>118</v>
      </c>
    </row>
    <row r="13" spans="1:44" x14ac:dyDescent="0.35">
      <c r="A13" s="6"/>
      <c r="B13" s="6" t="s">
        <v>29</v>
      </c>
      <c r="C13" s="6"/>
      <c r="D13" s="6"/>
      <c r="E13" s="57" t="s">
        <v>13</v>
      </c>
      <c r="F13" s="58"/>
      <c r="G13" s="58"/>
      <c r="H13" s="58"/>
      <c r="I13" s="6"/>
      <c r="J13" s="6"/>
      <c r="K13" s="6"/>
      <c r="L13" s="6"/>
      <c r="M13" s="6"/>
      <c r="N13" s="6"/>
      <c r="T13" s="144"/>
      <c r="U13" s="145"/>
      <c r="V13" s="88" t="s">
        <v>117</v>
      </c>
      <c r="W13" s="117"/>
    </row>
    <row r="14" spans="1:44" x14ac:dyDescent="0.35">
      <c r="A14" s="6"/>
      <c r="B14" s="6" t="s">
        <v>30</v>
      </c>
      <c r="C14" s="6"/>
      <c r="D14" s="6"/>
      <c r="E14" s="57" t="s">
        <v>13</v>
      </c>
      <c r="F14" s="58"/>
      <c r="G14" s="58"/>
      <c r="H14" s="58"/>
      <c r="I14" s="6"/>
      <c r="J14" s="6"/>
      <c r="K14" s="6"/>
      <c r="L14" s="6"/>
      <c r="M14" s="6"/>
      <c r="N14" s="6"/>
      <c r="T14" s="146"/>
      <c r="U14" s="147"/>
      <c r="V14" s="88" t="s">
        <v>116</v>
      </c>
      <c r="W14" s="117"/>
    </row>
    <row r="15" spans="1:44" ht="9" customHeight="1" thickBot="1" x14ac:dyDescent="0.4">
      <c r="A15" s="6"/>
      <c r="B15" s="6"/>
      <c r="C15" s="6"/>
      <c r="D15" s="6"/>
      <c r="F15" s="6"/>
      <c r="G15" s="6"/>
      <c r="H15" s="6"/>
      <c r="I15" s="6"/>
      <c r="J15" s="6"/>
      <c r="K15" s="6"/>
      <c r="L15" s="6"/>
      <c r="M15" s="6"/>
      <c r="N15" s="6"/>
    </row>
    <row r="16" spans="1:44" ht="15" thickBot="1" x14ac:dyDescent="0.4">
      <c r="A16" s="3" t="s">
        <v>31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5"/>
      <c r="Q16" s="136"/>
    </row>
    <row r="17" spans="1:48" s="6" customFormat="1" x14ac:dyDescent="0.35">
      <c r="A17" s="40" t="s">
        <v>0</v>
      </c>
      <c r="M17" s="48"/>
      <c r="N17" s="6" t="s">
        <v>158</v>
      </c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</row>
    <row r="18" spans="1:48" s="6" customFormat="1" x14ac:dyDescent="0.35">
      <c r="A18" s="14"/>
      <c r="B18" s="14" t="s">
        <v>32</v>
      </c>
      <c r="C18" s="14"/>
      <c r="D18" s="14"/>
      <c r="E18" s="53">
        <v>900</v>
      </c>
      <c r="F18" s="14" t="s">
        <v>35</v>
      </c>
      <c r="G18" s="14" t="s">
        <v>13</v>
      </c>
      <c r="H18" s="14"/>
      <c r="I18" s="14"/>
      <c r="J18" s="14"/>
      <c r="K18" s="14"/>
      <c r="L18" s="14"/>
      <c r="M18" s="49"/>
      <c r="N18" s="6" t="s">
        <v>159</v>
      </c>
      <c r="O18" s="14"/>
      <c r="P18" s="14"/>
      <c r="Q18" s="117"/>
      <c r="R18" s="117"/>
      <c r="S18" s="117"/>
      <c r="T18" s="117" t="s">
        <v>168</v>
      </c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</row>
    <row r="19" spans="1:48" s="6" customFormat="1" x14ac:dyDescent="0.35">
      <c r="B19" s="6" t="s">
        <v>33</v>
      </c>
      <c r="E19" s="54">
        <v>2315</v>
      </c>
      <c r="F19" s="6" t="s">
        <v>35</v>
      </c>
      <c r="G19" s="6" t="s">
        <v>13</v>
      </c>
      <c r="M19" s="50"/>
      <c r="N19" s="6" t="s">
        <v>160</v>
      </c>
      <c r="P19" s="22"/>
      <c r="Q19" s="117"/>
      <c r="R19" s="117"/>
      <c r="S19" s="117"/>
      <c r="T19" s="117"/>
      <c r="U19" s="117"/>
      <c r="V19" s="117" t="s">
        <v>169</v>
      </c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</row>
    <row r="20" spans="1:48" s="6" customFormat="1" x14ac:dyDescent="0.35">
      <c r="B20" s="6" t="s">
        <v>34</v>
      </c>
      <c r="E20" s="52">
        <v>54</v>
      </c>
      <c r="F20" s="6" t="s">
        <v>35</v>
      </c>
      <c r="G20" s="6" t="s">
        <v>13</v>
      </c>
      <c r="M20" s="51"/>
      <c r="N20" s="6" t="s">
        <v>161</v>
      </c>
      <c r="Q20" s="117"/>
      <c r="R20" s="117"/>
      <c r="S20" s="88"/>
      <c r="T20" s="117"/>
      <c r="U20" s="117"/>
      <c r="V20" s="117" t="s">
        <v>170</v>
      </c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</row>
    <row r="21" spans="1:48" s="6" customFormat="1" x14ac:dyDescent="0.35">
      <c r="B21" s="6" t="s">
        <v>10</v>
      </c>
      <c r="E21" s="52" t="s">
        <v>105</v>
      </c>
      <c r="K21" s="8" t="s">
        <v>13</v>
      </c>
      <c r="Q21" s="117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</row>
    <row r="22" spans="1:48" s="6" customFormat="1" x14ac:dyDescent="0.35">
      <c r="B22" s="6" t="s">
        <v>11</v>
      </c>
      <c r="E22" s="52" t="s">
        <v>223</v>
      </c>
      <c r="F22" s="6" t="s">
        <v>13</v>
      </c>
      <c r="K22" s="10" t="s">
        <v>90</v>
      </c>
      <c r="Q22" s="117"/>
      <c r="R22" s="88"/>
      <c r="S22" s="88"/>
      <c r="T22" s="88" t="s">
        <v>164</v>
      </c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</row>
    <row r="23" spans="1:48" s="6" customFormat="1" ht="10.9" customHeight="1" x14ac:dyDescent="0.35">
      <c r="K23" s="10"/>
      <c r="Q23" s="117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</row>
    <row r="24" spans="1:48" x14ac:dyDescent="0.35">
      <c r="A24" s="40" t="s">
        <v>87</v>
      </c>
    </row>
    <row r="25" spans="1:48" s="6" customFormat="1" ht="12" x14ac:dyDescent="0.3">
      <c r="B25" s="6" t="s">
        <v>72</v>
      </c>
      <c r="E25" s="52" t="s">
        <v>75</v>
      </c>
      <c r="F25" s="26" t="str">
        <f>IF(E25="geen"," ",IF(AND(E25="B30",E22="kurk")," ",IF(AND(E25="B60",E22="kurk")," ",IF(AND(E26="ja",E22="thermacore")," ", "alleen mogelijk met kurk- of thermacore-vulling "))))</f>
        <v xml:space="preserve"> </v>
      </c>
      <c r="Q25" s="117"/>
      <c r="R25" s="117"/>
      <c r="S25" s="117"/>
      <c r="T25" s="117" t="s">
        <v>150</v>
      </c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</row>
    <row r="26" spans="1:48" s="6" customFormat="1" ht="12" x14ac:dyDescent="0.3">
      <c r="B26" s="6" t="s">
        <v>183</v>
      </c>
      <c r="E26" s="52" t="s">
        <v>59</v>
      </c>
      <c r="F26" s="26" t="str">
        <f>IF(E26="nee"," ",IF(AND(E26="ja",E22="thermacore")," ","alleen mogelijk met thermacore-vulling, dikte 54 of 67 en topplaat susplex"))</f>
        <v xml:space="preserve"> </v>
      </c>
      <c r="Q26" s="117"/>
      <c r="R26" s="117"/>
      <c r="S26" s="117"/>
      <c r="T26" s="117" t="s">
        <v>187</v>
      </c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</row>
    <row r="27" spans="1:48" s="6" customFormat="1" ht="12" x14ac:dyDescent="0.3">
      <c r="B27" s="6" t="s">
        <v>78</v>
      </c>
      <c r="E27" s="52" t="s">
        <v>80</v>
      </c>
      <c r="Q27" s="117"/>
      <c r="R27" s="117"/>
      <c r="S27" s="117"/>
      <c r="T27" s="117" t="s">
        <v>163</v>
      </c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</row>
    <row r="28" spans="1:48" s="6" customFormat="1" ht="12" x14ac:dyDescent="0.3">
      <c r="B28" s="6" t="s">
        <v>121</v>
      </c>
      <c r="E28" s="52" t="s">
        <v>59</v>
      </c>
      <c r="G28" s="36" t="str">
        <f>IF(E28="nee", "  ","nieuwe breedte :")</f>
        <v xml:space="preserve">  </v>
      </c>
      <c r="H28" s="37"/>
      <c r="I28" s="43">
        <v>150</v>
      </c>
      <c r="J28" s="38" t="str">
        <f>IF(E28="nee"," ","mm")</f>
        <v xml:space="preserve"> </v>
      </c>
      <c r="Q28" s="117"/>
      <c r="R28" s="117"/>
      <c r="S28" s="117"/>
      <c r="T28" s="117" t="s">
        <v>122</v>
      </c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 t="s">
        <v>13</v>
      </c>
      <c r="AV28" s="117"/>
    </row>
    <row r="29" spans="1:48" s="6" customFormat="1" ht="9.65" customHeight="1" x14ac:dyDescent="0.3">
      <c r="E29" s="8"/>
      <c r="G29" s="6" t="s">
        <v>13</v>
      </c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</row>
    <row r="30" spans="1:48" s="6" customFormat="1" x14ac:dyDescent="0.35">
      <c r="A30" s="15" t="s">
        <v>13</v>
      </c>
      <c r="B30" s="39" t="s">
        <v>123</v>
      </c>
      <c r="C30" s="15"/>
      <c r="D30" s="15"/>
      <c r="E30" s="16"/>
      <c r="F30" s="15"/>
      <c r="G30" s="15"/>
      <c r="H30" s="15"/>
      <c r="I30" s="15" t="s">
        <v>44</v>
      </c>
      <c r="J30" s="15"/>
      <c r="K30" s="17" t="s">
        <v>69</v>
      </c>
      <c r="L30" s="15"/>
      <c r="M30" s="15"/>
      <c r="N30" s="15"/>
      <c r="O30" s="15" t="s">
        <v>13</v>
      </c>
      <c r="P30" s="15"/>
      <c r="Q30" s="117" t="s">
        <v>13</v>
      </c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</row>
    <row r="31" spans="1:48" s="6" customFormat="1" x14ac:dyDescent="0.35">
      <c r="B31" s="6" t="s">
        <v>46</v>
      </c>
      <c r="C31" s="14"/>
      <c r="D31" s="14"/>
      <c r="E31" s="32">
        <f>IF(E28="ja",I28,AL82)</f>
        <v>55</v>
      </c>
      <c r="F31" s="14" t="s">
        <v>35</v>
      </c>
      <c r="G31" s="14" t="s">
        <v>13</v>
      </c>
      <c r="H31" s="14"/>
      <c r="I31" s="14" t="s">
        <v>45</v>
      </c>
      <c r="J31" s="14"/>
      <c r="K31" s="33">
        <v>0.13</v>
      </c>
      <c r="L31" s="14"/>
      <c r="M31" s="14"/>
      <c r="N31" s="14"/>
      <c r="O31" s="14"/>
      <c r="P31" s="14"/>
      <c r="Q31" s="117"/>
      <c r="R31" s="88"/>
      <c r="S31" s="88"/>
      <c r="T31" s="88" t="s">
        <v>137</v>
      </c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</row>
    <row r="32" spans="1:48" s="6" customFormat="1" x14ac:dyDescent="0.35">
      <c r="B32" s="6" t="s">
        <v>47</v>
      </c>
      <c r="E32" s="85">
        <f>AL83</f>
        <v>55</v>
      </c>
      <c r="F32" s="6" t="s">
        <v>35</v>
      </c>
      <c r="G32" s="6" t="s">
        <v>13</v>
      </c>
      <c r="I32" s="6" t="s">
        <v>45</v>
      </c>
      <c r="K32" s="10">
        <v>0.13</v>
      </c>
      <c r="Q32" s="117"/>
      <c r="R32" s="88"/>
      <c r="S32" s="88"/>
      <c r="T32" s="117"/>
      <c r="U32" s="117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</row>
    <row r="33" spans="1:48" s="6" customFormat="1" x14ac:dyDescent="0.35">
      <c r="B33" s="6" t="s">
        <v>48</v>
      </c>
      <c r="E33" s="85">
        <f>IF(E27="WX",165,AL86)</f>
        <v>165</v>
      </c>
      <c r="F33" s="6" t="s">
        <v>35</v>
      </c>
      <c r="G33" s="6" t="s">
        <v>13</v>
      </c>
      <c r="I33" s="6" t="s">
        <v>45</v>
      </c>
      <c r="K33" s="10">
        <v>0.13</v>
      </c>
      <c r="Q33" s="117"/>
      <c r="R33" s="88"/>
      <c r="S33" s="88"/>
      <c r="T33" s="88"/>
      <c r="U33" s="88"/>
      <c r="V33" s="117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</row>
    <row r="34" spans="1:48" s="6" customFormat="1" x14ac:dyDescent="0.35">
      <c r="B34" s="6" t="s">
        <v>49</v>
      </c>
      <c r="E34" s="85">
        <f>AL88</f>
        <v>55</v>
      </c>
      <c r="F34" s="6" t="s">
        <v>35</v>
      </c>
      <c r="G34" s="8" t="s">
        <v>13</v>
      </c>
      <c r="H34" s="6" t="s">
        <v>13</v>
      </c>
      <c r="I34" s="6" t="s">
        <v>45</v>
      </c>
      <c r="K34" s="10">
        <v>0.13</v>
      </c>
      <c r="N34" t="s">
        <v>13</v>
      </c>
      <c r="Q34" s="117"/>
      <c r="R34" s="88"/>
      <c r="S34" s="88"/>
      <c r="T34" s="88" t="s">
        <v>138</v>
      </c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</row>
    <row r="35" spans="1:48" s="6" customFormat="1" x14ac:dyDescent="0.35">
      <c r="E35" s="8"/>
      <c r="Q35" s="117"/>
      <c r="R35" s="88"/>
      <c r="S35" s="88"/>
      <c r="T35" s="88"/>
      <c r="U35" s="88"/>
      <c r="V35" s="88" t="s">
        <v>151</v>
      </c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</row>
    <row r="36" spans="1:48" s="6" customFormat="1" x14ac:dyDescent="0.35">
      <c r="A36" s="40" t="s">
        <v>1</v>
      </c>
      <c r="C36" s="15"/>
      <c r="D36" s="15"/>
      <c r="E36" s="16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17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117"/>
      <c r="AH36" s="117"/>
      <c r="AI36" s="117"/>
      <c r="AJ36" s="117"/>
      <c r="AK36" s="117"/>
      <c r="AL36" s="148">
        <f>1/(0.17+AV50+AV50+AV67)</f>
        <v>2.2128767397616902</v>
      </c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</row>
    <row r="37" spans="1:48" s="6" customFormat="1" x14ac:dyDescent="0.35">
      <c r="A37" s="14"/>
      <c r="B37" s="14" t="s">
        <v>3</v>
      </c>
      <c r="E37" s="59" t="s">
        <v>41</v>
      </c>
      <c r="F37" s="31" t="str">
        <f>IF(AND(E37="T",E25="B30"),"type TB",IF(AND(E37="T",E25="B60"),"type TBP","  "))</f>
        <v xml:space="preserve">  </v>
      </c>
      <c r="Q37" s="117"/>
      <c r="R37" s="88"/>
      <c r="S37" s="88"/>
      <c r="T37" s="88" t="s">
        <v>178</v>
      </c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117"/>
      <c r="AH37" s="117"/>
      <c r="AI37" s="117"/>
      <c r="AJ37" s="117"/>
      <c r="AK37" s="117"/>
      <c r="AL37" s="148">
        <f>1/(0.17+AV52+AV52+AV67)</f>
        <v>2.0553511532721602</v>
      </c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</row>
    <row r="38" spans="1:48" s="6" customFormat="1" x14ac:dyDescent="0.35">
      <c r="E38"/>
      <c r="J38" s="6" t="s">
        <v>13</v>
      </c>
      <c r="K38" s="6" t="s">
        <v>2</v>
      </c>
      <c r="N38" s="6" t="s">
        <v>56</v>
      </c>
      <c r="Q38" s="117"/>
      <c r="R38" s="88"/>
      <c r="S38" s="88"/>
      <c r="T38" s="88"/>
      <c r="U38" s="88"/>
      <c r="V38" s="88" t="s">
        <v>152</v>
      </c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117"/>
      <c r="AH38" s="117"/>
      <c r="AI38" s="117"/>
      <c r="AJ38" s="117"/>
      <c r="AK38" s="117"/>
      <c r="AL38" s="148">
        <f>1/(0.17+AV50+AV50+AV69)</f>
        <v>1.7627821647922148</v>
      </c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</row>
    <row r="39" spans="1:48" s="6" customFormat="1" x14ac:dyDescent="0.35">
      <c r="B39" s="6" t="s">
        <v>94</v>
      </c>
      <c r="E39"/>
      <c r="G39" s="6" t="s">
        <v>37</v>
      </c>
      <c r="I39" s="6" t="s">
        <v>50</v>
      </c>
      <c r="K39" s="14" t="s">
        <v>51</v>
      </c>
      <c r="L39" s="14" t="s">
        <v>52</v>
      </c>
      <c r="M39" s="14"/>
      <c r="N39" s="14" t="s">
        <v>55</v>
      </c>
      <c r="O39" s="14" t="s">
        <v>54</v>
      </c>
      <c r="Q39" s="117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117"/>
      <c r="AH39" s="117"/>
      <c r="AI39" s="117"/>
      <c r="AJ39" s="117"/>
      <c r="AK39" s="117"/>
      <c r="AL39" s="148">
        <f>1/(0.17+AV51+AV51+AV70)</f>
        <v>1.5234024953470739</v>
      </c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</row>
    <row r="40" spans="1:48" s="6" customFormat="1" x14ac:dyDescent="0.35">
      <c r="B40" s="6" t="s">
        <v>4</v>
      </c>
      <c r="E40" s="60">
        <v>0</v>
      </c>
      <c r="F40" s="6" t="s">
        <v>36</v>
      </c>
      <c r="G40" s="60">
        <v>400</v>
      </c>
      <c r="H40" s="11" t="s">
        <v>35</v>
      </c>
      <c r="K40" s="10">
        <f>3.1427*E40*(G40/1000)*(G40/1000)/4</f>
        <v>0</v>
      </c>
      <c r="L40" s="10">
        <f>3.1427*E40*G40/1000</f>
        <v>0</v>
      </c>
      <c r="N40" s="18">
        <f>AL75</f>
        <v>55</v>
      </c>
      <c r="O40" s="10">
        <f>3.1427*E40*((G40+2*N40)*(G40+2*N40)-G40*G40)/1000000/4</f>
        <v>0</v>
      </c>
      <c r="Q40" s="117"/>
      <c r="R40" s="88"/>
      <c r="S40" s="88"/>
      <c r="T40" s="88" t="s">
        <v>181</v>
      </c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117"/>
      <c r="AH40" s="117"/>
      <c r="AI40" s="117"/>
      <c r="AJ40" s="117"/>
      <c r="AK40" s="117"/>
      <c r="AL40" s="148">
        <f>1/(0.17+AV53+AV53+AV70)</f>
        <v>1.4048092751749699</v>
      </c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</row>
    <row r="41" spans="1:48" s="6" customFormat="1" x14ac:dyDescent="0.35">
      <c r="B41" s="6" t="s">
        <v>4</v>
      </c>
      <c r="E41" s="60">
        <v>0</v>
      </c>
      <c r="F41" s="6" t="s">
        <v>36</v>
      </c>
      <c r="G41" s="60">
        <v>200</v>
      </c>
      <c r="H41" s="11" t="s">
        <v>35</v>
      </c>
      <c r="K41" s="10">
        <f>3.1427*E41*(G41/1000)*(G41/1000)/4</f>
        <v>0</v>
      </c>
      <c r="L41" s="10">
        <f>3.1427*E41*G41/1000</f>
        <v>0</v>
      </c>
      <c r="N41" s="18">
        <f>N40</f>
        <v>55</v>
      </c>
      <c r="O41" s="10">
        <f>3.1427*E41*((G41+2*N41)*(G41+2*N41)-G41*G41)/1000000/4</f>
        <v>0</v>
      </c>
      <c r="Q41" s="117"/>
      <c r="R41" s="88"/>
      <c r="S41" s="88"/>
      <c r="T41" s="117"/>
      <c r="U41" s="117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117"/>
      <c r="AH41" s="117"/>
      <c r="AI41" s="117"/>
      <c r="AJ41" s="117"/>
      <c r="AK41" s="117"/>
      <c r="AL41" s="148">
        <f>1/(0.17+AV50+AV50+AV71)</f>
        <v>1.4986098867566284</v>
      </c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</row>
    <row r="42" spans="1:48" s="6" customFormat="1" x14ac:dyDescent="0.35">
      <c r="B42" s="6" t="s">
        <v>5</v>
      </c>
      <c r="E42" s="60">
        <v>1</v>
      </c>
      <c r="F42" s="6" t="s">
        <v>36</v>
      </c>
      <c r="G42" s="60">
        <v>200</v>
      </c>
      <c r="H42" s="11" t="s">
        <v>35</v>
      </c>
      <c r="I42" s="60">
        <v>1000</v>
      </c>
      <c r="J42" s="11" t="s">
        <v>35</v>
      </c>
      <c r="K42" s="10">
        <f>E42*G42*I42/1000000</f>
        <v>0.2</v>
      </c>
      <c r="L42" s="10">
        <f>E42*2*(G42+I42)/1000</f>
        <v>2.4</v>
      </c>
      <c r="N42" s="18">
        <f>N40</f>
        <v>55</v>
      </c>
      <c r="O42" s="10">
        <f>E42*((G42+2*N42)*2*N42+(I42*N42)*2)/1000000</f>
        <v>0.14410000000000001</v>
      </c>
      <c r="Q42" s="117"/>
      <c r="R42" s="88"/>
      <c r="S42" s="88"/>
      <c r="T42" s="88" t="s">
        <v>119</v>
      </c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117"/>
      <c r="AH42" s="117"/>
      <c r="AI42" s="117"/>
      <c r="AJ42" s="117"/>
      <c r="AK42" s="117"/>
      <c r="AL42" s="148">
        <f>1/(0.17+AV53+AV53+AV72)</f>
        <v>1.2088609245048538</v>
      </c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</row>
    <row r="43" spans="1:48" s="6" customFormat="1" x14ac:dyDescent="0.35">
      <c r="B43" s="6" t="s">
        <v>5</v>
      </c>
      <c r="E43" s="60">
        <v>0</v>
      </c>
      <c r="F43" s="6" t="s">
        <v>36</v>
      </c>
      <c r="G43" s="60">
        <v>200</v>
      </c>
      <c r="H43" s="11" t="s">
        <v>35</v>
      </c>
      <c r="I43" s="60">
        <v>500</v>
      </c>
      <c r="J43" s="11" t="s">
        <v>35</v>
      </c>
      <c r="K43" s="10">
        <f t="shared" ref="K43:K46" si="0">E43*G43*I43/1000000</f>
        <v>0</v>
      </c>
      <c r="L43" s="10">
        <f t="shared" ref="L43:L46" si="1">E43*2*(G43+I43)/1000</f>
        <v>0</v>
      </c>
      <c r="N43" s="18">
        <f>N40</f>
        <v>55</v>
      </c>
      <c r="O43" s="10">
        <f>E43*((G43+2*N43)*2*N43+(I43*N43)*2)/1000000</f>
        <v>0</v>
      </c>
      <c r="Q43" s="117"/>
      <c r="R43" s="88"/>
      <c r="S43" s="88"/>
      <c r="T43" s="88"/>
      <c r="U43" s="88"/>
      <c r="V43" s="88"/>
      <c r="W43" s="88"/>
      <c r="X43" s="149"/>
      <c r="Y43" s="149"/>
      <c r="Z43" s="149"/>
      <c r="AA43" s="149"/>
      <c r="AB43" s="149"/>
      <c r="AC43" s="149"/>
      <c r="AD43" s="149"/>
      <c r="AE43" s="149"/>
      <c r="AF43" s="88"/>
      <c r="AG43" s="117" t="s">
        <v>13</v>
      </c>
      <c r="AH43" s="117"/>
      <c r="AI43" s="117"/>
      <c r="AJ43" s="117"/>
      <c r="AK43" s="117"/>
      <c r="AL43" s="148">
        <f t="shared" ref="AL43:AL44" si="2">1/(0.17)</f>
        <v>5.8823529411764701</v>
      </c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</row>
    <row r="44" spans="1:48" s="6" customFormat="1" x14ac:dyDescent="0.35">
      <c r="B44" s="6" t="s">
        <v>5</v>
      </c>
      <c r="E44" s="60">
        <v>0</v>
      </c>
      <c r="F44" s="6" t="s">
        <v>36</v>
      </c>
      <c r="G44" s="60">
        <v>200</v>
      </c>
      <c r="H44" s="11" t="s">
        <v>35</v>
      </c>
      <c r="I44" s="60">
        <v>500</v>
      </c>
      <c r="J44" s="11" t="s">
        <v>35</v>
      </c>
      <c r="K44" s="10">
        <f t="shared" ref="K44" si="3">E44*G44*I44/1000000</f>
        <v>0</v>
      </c>
      <c r="L44" s="10">
        <f t="shared" ref="L44" si="4">E44*2*(G44+I44)/1000</f>
        <v>0</v>
      </c>
      <c r="N44" s="18">
        <f>N41</f>
        <v>55</v>
      </c>
      <c r="O44" s="10">
        <f>E44*((G44+2*N44)*2*N44+(I44*N44)*2)/1000000</f>
        <v>0</v>
      </c>
      <c r="Q44" s="117"/>
      <c r="R44" s="88"/>
      <c r="S44" s="88"/>
      <c r="T44" s="88"/>
      <c r="U44" s="88"/>
      <c r="V44" s="88"/>
      <c r="W44" s="88"/>
      <c r="X44" s="149"/>
      <c r="Y44" s="149"/>
      <c r="Z44" s="149"/>
      <c r="AA44" s="149"/>
      <c r="AB44" s="149"/>
      <c r="AC44" s="149"/>
      <c r="AD44" s="149"/>
      <c r="AE44" s="149"/>
      <c r="AF44" s="88"/>
      <c r="AG44" s="117"/>
      <c r="AH44" s="117"/>
      <c r="AI44" s="117"/>
      <c r="AJ44" s="117"/>
      <c r="AK44" s="117"/>
      <c r="AL44" s="148">
        <f t="shared" si="2"/>
        <v>5.8823529411764701</v>
      </c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</row>
    <row r="45" spans="1:48" s="6" customFormat="1" x14ac:dyDescent="0.35">
      <c r="B45" s="6" t="s">
        <v>6</v>
      </c>
      <c r="E45" s="60">
        <v>0</v>
      </c>
      <c r="F45" s="6" t="s">
        <v>36</v>
      </c>
      <c r="G45" s="60">
        <v>200</v>
      </c>
      <c r="H45" s="11" t="s">
        <v>35</v>
      </c>
      <c r="I45" s="60">
        <v>800</v>
      </c>
      <c r="J45" s="11" t="s">
        <v>35</v>
      </c>
      <c r="K45" s="10">
        <f t="shared" si="0"/>
        <v>0</v>
      </c>
      <c r="L45" s="10">
        <f t="shared" si="1"/>
        <v>0</v>
      </c>
      <c r="N45" s="18">
        <f>N40</f>
        <v>55</v>
      </c>
      <c r="O45" s="10">
        <f>E45*((G45+2*N45)*2*N45+(I45*N45)*2)/1000000</f>
        <v>0</v>
      </c>
      <c r="Q45" s="117"/>
      <c r="R45" s="88"/>
      <c r="S45" s="88"/>
      <c r="T45" s="88"/>
      <c r="U45" s="88"/>
      <c r="V45" s="88"/>
      <c r="W45" s="88"/>
      <c r="X45" s="149"/>
      <c r="Y45" s="149"/>
      <c r="Z45" s="149"/>
      <c r="AA45" s="149"/>
      <c r="AB45" s="149"/>
      <c r="AC45" s="149"/>
      <c r="AD45" s="149"/>
      <c r="AE45" s="149"/>
      <c r="AF45" s="88"/>
      <c r="AG45" s="117"/>
      <c r="AH45" s="117"/>
      <c r="AI45" s="117"/>
      <c r="AJ45" s="117"/>
      <c r="AK45" s="117"/>
      <c r="AL45" s="148">
        <f t="shared" ref="AL45" si="5">1/(0.17)</f>
        <v>5.8823529411764701</v>
      </c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</row>
    <row r="46" spans="1:48" s="6" customFormat="1" ht="15" thickBot="1" x14ac:dyDescent="0.4">
      <c r="B46" s="6" t="s">
        <v>6</v>
      </c>
      <c r="E46" s="60">
        <v>0</v>
      </c>
      <c r="F46" s="6" t="s">
        <v>36</v>
      </c>
      <c r="G46" s="60">
        <v>200</v>
      </c>
      <c r="H46" s="11" t="s">
        <v>35</v>
      </c>
      <c r="I46" s="60">
        <v>1200</v>
      </c>
      <c r="J46" s="11" t="s">
        <v>35</v>
      </c>
      <c r="K46" s="10">
        <f t="shared" si="0"/>
        <v>0</v>
      </c>
      <c r="L46" s="21">
        <f t="shared" si="1"/>
        <v>0</v>
      </c>
      <c r="N46" s="8">
        <f>N40</f>
        <v>55</v>
      </c>
      <c r="O46" s="10">
        <f>E46*((G46+2*N46)*2*N46+(I46*N46)*2)/1000000</f>
        <v>0</v>
      </c>
      <c r="Q46" s="117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 t="s">
        <v>13</v>
      </c>
      <c r="AC46" s="88"/>
      <c r="AD46" s="88"/>
      <c r="AE46" s="88"/>
      <c r="AF46" s="88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</row>
    <row r="47" spans="1:48" s="6" customFormat="1" ht="15" thickTop="1" x14ac:dyDescent="0.35">
      <c r="E47" s="8" t="s">
        <v>13</v>
      </c>
      <c r="L47" s="10">
        <f>SUM(L40:L46)</f>
        <v>2.4</v>
      </c>
      <c r="M47" s="6" t="s">
        <v>98</v>
      </c>
      <c r="O47" s="30">
        <f>SUM(O40:O46)</f>
        <v>0.14410000000000001</v>
      </c>
      <c r="P47" s="27" t="s">
        <v>109</v>
      </c>
      <c r="Q47" s="117"/>
      <c r="R47" s="117"/>
      <c r="S47" s="117"/>
      <c r="T47" s="150" t="s">
        <v>166</v>
      </c>
      <c r="U47" s="151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3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</row>
    <row r="48" spans="1:48" s="6" customFormat="1" x14ac:dyDescent="0.35">
      <c r="A48" s="41" t="s">
        <v>2</v>
      </c>
      <c r="B48" s="15"/>
      <c r="C48" s="15"/>
      <c r="D48" s="15"/>
      <c r="E48" s="16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17"/>
      <c r="R48" s="117"/>
      <c r="S48" s="117"/>
      <c r="T48" s="154" t="s">
        <v>96</v>
      </c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55"/>
      <c r="AM48" s="117"/>
      <c r="AN48" s="117"/>
      <c r="AO48" s="117"/>
      <c r="AP48" s="117"/>
      <c r="AQ48" s="117"/>
      <c r="AR48" s="117"/>
      <c r="AS48" s="156" t="s">
        <v>199</v>
      </c>
      <c r="AT48" s="117"/>
      <c r="AU48" s="117"/>
      <c r="AV48" s="117"/>
    </row>
    <row r="49" spans="1:48" s="6" customFormat="1" ht="12.5" thickBot="1" x14ac:dyDescent="0.35">
      <c r="B49" s="6" t="s">
        <v>7</v>
      </c>
      <c r="E49" s="60">
        <v>0.6</v>
      </c>
      <c r="F49" s="11" t="s">
        <v>57</v>
      </c>
      <c r="G49" s="6" t="s">
        <v>13</v>
      </c>
      <c r="I49" s="6" t="s">
        <v>13</v>
      </c>
      <c r="Q49" s="117"/>
      <c r="R49" s="117"/>
      <c r="S49" s="117"/>
      <c r="T49" s="154" t="s">
        <v>97</v>
      </c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55"/>
      <c r="AM49" s="117"/>
      <c r="AN49" s="117"/>
      <c r="AO49" s="117"/>
      <c r="AP49" s="117"/>
      <c r="AQ49" s="117"/>
      <c r="AR49" s="117"/>
      <c r="AS49" s="117"/>
      <c r="AT49" s="89" t="s">
        <v>196</v>
      </c>
      <c r="AU49" s="89" t="s">
        <v>195</v>
      </c>
      <c r="AV49" s="89" t="s">
        <v>194</v>
      </c>
    </row>
    <row r="50" spans="1:48" s="6" customFormat="1" ht="15" thickTop="1" x14ac:dyDescent="0.35">
      <c r="B50" s="6" t="s">
        <v>8</v>
      </c>
      <c r="E50" s="52">
        <v>0.04</v>
      </c>
      <c r="F50" s="11" t="s">
        <v>58</v>
      </c>
      <c r="G50" s="6" t="s">
        <v>13</v>
      </c>
      <c r="L50" s="6" t="s">
        <v>13</v>
      </c>
      <c r="Q50" s="117"/>
      <c r="R50" s="117"/>
      <c r="S50" s="117"/>
      <c r="T50" s="157" t="s">
        <v>113</v>
      </c>
      <c r="U50" s="158"/>
      <c r="V50" s="159"/>
      <c r="W50" s="160"/>
      <c r="X50" s="161" t="s">
        <v>198</v>
      </c>
      <c r="Y50" s="152"/>
      <c r="Z50" s="152"/>
      <c r="AA50" s="152"/>
      <c r="AB50" s="152"/>
      <c r="AC50" s="152"/>
      <c r="AD50" s="152"/>
      <c r="AE50" s="152"/>
      <c r="AF50" s="153"/>
      <c r="AG50" s="161" t="s">
        <v>107</v>
      </c>
      <c r="AH50" s="152"/>
      <c r="AI50" s="152"/>
      <c r="AJ50" s="153"/>
      <c r="AK50" s="162"/>
      <c r="AL50" s="163" t="s">
        <v>143</v>
      </c>
      <c r="AM50" s="117"/>
      <c r="AN50" s="117"/>
      <c r="AO50" s="117"/>
      <c r="AP50" s="117"/>
      <c r="AQ50" s="117"/>
      <c r="AR50" s="117"/>
      <c r="AS50" s="117" t="s">
        <v>89</v>
      </c>
      <c r="AT50" s="164">
        <v>5</v>
      </c>
      <c r="AU50" s="164">
        <v>0.17</v>
      </c>
      <c r="AV50" s="165">
        <f>AT50/AU50/1000</f>
        <v>2.9411764705882353E-2</v>
      </c>
    </row>
    <row r="51" spans="1:48" s="6" customFormat="1" x14ac:dyDescent="0.35">
      <c r="B51" s="6" t="s">
        <v>120</v>
      </c>
      <c r="E51" s="52" t="s">
        <v>59</v>
      </c>
      <c r="G51" s="36" t="str">
        <f>IF(E51="nee", "  ","totale lengte :")</f>
        <v xml:space="preserve">  </v>
      </c>
      <c r="H51" s="37"/>
      <c r="I51" s="61">
        <v>0</v>
      </c>
      <c r="J51" s="38" t="str">
        <f>IF(E51="nee"," ","mm")</f>
        <v xml:space="preserve"> </v>
      </c>
      <c r="Q51" s="117"/>
      <c r="R51" s="117"/>
      <c r="S51" s="117"/>
      <c r="T51" s="166" t="s">
        <v>114</v>
      </c>
      <c r="U51" s="167"/>
      <c r="V51" s="88"/>
      <c r="W51" s="137"/>
      <c r="X51" s="112" t="s">
        <v>89</v>
      </c>
      <c r="Y51" s="88"/>
      <c r="Z51" s="88"/>
      <c r="AA51" s="168"/>
      <c r="AB51" s="88" t="s">
        <v>70</v>
      </c>
      <c r="AC51" s="88"/>
      <c r="AD51" s="88"/>
      <c r="AE51" s="88"/>
      <c r="AF51" s="137"/>
      <c r="AG51" s="112" t="s">
        <v>89</v>
      </c>
      <c r="AH51" s="168"/>
      <c r="AI51" s="88" t="s">
        <v>70</v>
      </c>
      <c r="AJ51" s="137"/>
      <c r="AK51" s="154"/>
      <c r="AL51" s="169" t="str">
        <f>E21</f>
        <v>susplex</v>
      </c>
      <c r="AM51" s="117"/>
      <c r="AN51" s="117"/>
      <c r="AO51" s="117"/>
      <c r="AP51" s="117"/>
      <c r="AQ51" s="117"/>
      <c r="AR51" s="117"/>
      <c r="AS51" s="88"/>
      <c r="AT51" s="164">
        <v>8</v>
      </c>
      <c r="AU51" s="164">
        <v>0.17</v>
      </c>
      <c r="AV51" s="165">
        <f>AT51/AU51/1000</f>
        <v>4.7058823529411764E-2</v>
      </c>
    </row>
    <row r="52" spans="1:48" s="6" customFormat="1" ht="15" thickBot="1" x14ac:dyDescent="0.4">
      <c r="I52" s="8"/>
      <c r="Q52" s="117"/>
      <c r="R52" s="117"/>
      <c r="S52" s="117"/>
      <c r="T52" s="170" t="s">
        <v>11</v>
      </c>
      <c r="U52" s="171"/>
      <c r="V52" s="171"/>
      <c r="W52" s="172"/>
      <c r="X52" s="173" t="s">
        <v>197</v>
      </c>
      <c r="Y52" s="174">
        <v>54</v>
      </c>
      <c r="Z52" s="174">
        <v>67</v>
      </c>
      <c r="AA52" s="175">
        <v>82</v>
      </c>
      <c r="AB52" s="173" t="s">
        <v>197</v>
      </c>
      <c r="AC52" s="174">
        <v>54</v>
      </c>
      <c r="AD52" s="174">
        <v>67</v>
      </c>
      <c r="AE52" s="174">
        <v>82</v>
      </c>
      <c r="AF52" s="155"/>
      <c r="AG52" s="176">
        <f>E20</f>
        <v>54</v>
      </c>
      <c r="AH52" s="177"/>
      <c r="AI52" s="178">
        <f>E20</f>
        <v>54</v>
      </c>
      <c r="AJ52" s="155"/>
      <c r="AK52" s="154"/>
      <c r="AL52" s="109">
        <f>AG52</f>
        <v>54</v>
      </c>
      <c r="AM52" s="117"/>
      <c r="AN52" s="117"/>
      <c r="AO52" s="117"/>
      <c r="AP52" s="117"/>
      <c r="AQ52" s="117"/>
      <c r="AR52" s="117"/>
      <c r="AS52" s="117" t="s">
        <v>190</v>
      </c>
      <c r="AT52" s="164">
        <v>5</v>
      </c>
      <c r="AU52" s="164">
        <v>0.107</v>
      </c>
      <c r="AV52" s="165">
        <f>AT52/AU52/1000</f>
        <v>4.6728971962616828E-2</v>
      </c>
    </row>
    <row r="53" spans="1:48" ht="15" thickBot="1" x14ac:dyDescent="0.4">
      <c r="A53" s="3" t="s">
        <v>12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5"/>
      <c r="Q53" s="136"/>
      <c r="T53" s="179" t="s">
        <v>82</v>
      </c>
      <c r="U53" s="159"/>
      <c r="V53" s="180" t="s">
        <v>13</v>
      </c>
      <c r="W53" s="181"/>
      <c r="X53" s="182">
        <f>1/(AV50+AV50+AV58+0.17)</f>
        <v>2.0306222173960258</v>
      </c>
      <c r="Y53" s="148">
        <f>1/(0.17+AV51+AV59+AV51)</f>
        <v>1.640494780243881</v>
      </c>
      <c r="Z53" s="148" t="s">
        <v>108</v>
      </c>
      <c r="AA53" s="183" t="s">
        <v>108</v>
      </c>
      <c r="AB53" s="148">
        <f>1/(0.17+AV52+AV58+AV52)</f>
        <v>1.8971937007366335</v>
      </c>
      <c r="AC53" s="148">
        <f>1/(0.17+AV53+AV59+AV53)</f>
        <v>1.5037882175573982</v>
      </c>
      <c r="AD53" s="148" t="s">
        <v>108</v>
      </c>
      <c r="AE53" s="148" t="s">
        <v>108</v>
      </c>
      <c r="AF53" s="155"/>
      <c r="AG53" s="184">
        <f>IF(AG52=39,X53,IF(AG52=54,Y53,IF(AG52=67,Z53,IF(AG52=82,AA53))))</f>
        <v>1.640494780243881</v>
      </c>
      <c r="AH53" s="185"/>
      <c r="AI53" s="186">
        <f>IF(AI52=39,AB53,IF(AI52=54,AC53,IF(AI52=67,AD53,IF(AI52=82,AE53))))</f>
        <v>1.5037882175573982</v>
      </c>
      <c r="AJ53" s="160"/>
      <c r="AK53" s="187"/>
      <c r="AL53" s="188">
        <f>IF(AL51="susplex",AG53,IF(AL51="tricoya",AI53))</f>
        <v>1.640494780243881</v>
      </c>
      <c r="AM53" s="88">
        <v>53</v>
      </c>
      <c r="AS53" s="117"/>
      <c r="AT53" s="164">
        <v>8</v>
      </c>
      <c r="AU53" s="164">
        <v>0.107</v>
      </c>
      <c r="AV53" s="165">
        <f>AT53/AU53/1000</f>
        <v>7.476635514018691E-2</v>
      </c>
    </row>
    <row r="54" spans="1:48" s="6" customFormat="1" ht="15" customHeight="1" x14ac:dyDescent="0.35">
      <c r="A54" s="42" t="s">
        <v>125</v>
      </c>
      <c r="E54" s="8" t="s">
        <v>62</v>
      </c>
      <c r="G54" s="6" t="s">
        <v>13</v>
      </c>
      <c r="I54" s="8" t="s">
        <v>61</v>
      </c>
      <c r="K54" s="6" t="s">
        <v>13</v>
      </c>
      <c r="L54" s="8" t="s">
        <v>60</v>
      </c>
      <c r="O54" s="8" t="s">
        <v>25</v>
      </c>
      <c r="P54" s="11" t="s">
        <v>112</v>
      </c>
      <c r="Q54" s="117"/>
      <c r="R54" s="117"/>
      <c r="S54" s="117"/>
      <c r="T54" s="154" t="s">
        <v>162</v>
      </c>
      <c r="U54" s="117"/>
      <c r="V54" s="189" t="s">
        <v>13</v>
      </c>
      <c r="W54" s="137"/>
      <c r="X54" s="190">
        <f>1/(AV50+AV50+AV54+0.17)</f>
        <v>0.81378650071804692</v>
      </c>
      <c r="Y54" s="191">
        <f>1/(0.17+AV51+AV51+AV55)</f>
        <v>0.63513739838445782</v>
      </c>
      <c r="Z54" s="191">
        <f>1/(0.17+AV51+AV51+AV56)</f>
        <v>0.4943793182980516</v>
      </c>
      <c r="AA54" s="191">
        <f>1/(0.17+AV51+AV51+AV57)</f>
        <v>0.3937039314491978</v>
      </c>
      <c r="AB54" s="191">
        <f>1/(0.17+AV52+AV52+AV54)</f>
        <v>0.7914786596641763</v>
      </c>
      <c r="AC54" s="191">
        <f>1/(0.17+AV53+AV53+AV55)</f>
        <v>0.61354302809089856</v>
      </c>
      <c r="AD54" s="191">
        <f>1/(0.17+AV53+AV53+AV56)</f>
        <v>0.48119643142369317</v>
      </c>
      <c r="AE54" s="191">
        <f>1/(0.17+AV53+AV53+AV57)</f>
        <v>0.38529783907886128</v>
      </c>
      <c r="AF54" s="155"/>
      <c r="AG54" s="192">
        <f>IF(AG52=39,X54,IF(AG52=54,Y54,IF(AG52=67,Z54,IF(AG52=82,AA54))))</f>
        <v>0.63513739838445782</v>
      </c>
      <c r="AH54" s="149"/>
      <c r="AI54" s="193">
        <f>IF(AI52=39,AB54,IF(AI52=54,AC54,IF(AI52=67,AD54,IF(AI52=82,AE54))))</f>
        <v>0.61354302809089856</v>
      </c>
      <c r="AJ54" s="155"/>
      <c r="AK54" s="154"/>
      <c r="AL54" s="194">
        <f>IF(AL51="susplex",AG54,IF(AL51="tricoya",AI54))</f>
        <v>0.63513739838445782</v>
      </c>
      <c r="AM54" s="117">
        <v>54</v>
      </c>
      <c r="AN54" s="117"/>
      <c r="AO54" s="117"/>
      <c r="AP54" s="117"/>
      <c r="AQ54" s="117"/>
      <c r="AR54" s="117"/>
      <c r="AS54" s="117" t="s">
        <v>191</v>
      </c>
      <c r="AT54" s="164">
        <v>29</v>
      </c>
      <c r="AU54" s="164">
        <v>2.9000000000000001E-2</v>
      </c>
      <c r="AV54" s="165">
        <f t="shared" ref="AV54:AV72" si="6">AT54/AU54/1000</f>
        <v>1</v>
      </c>
    </row>
    <row r="55" spans="1:48" s="6" customFormat="1" ht="15" customHeight="1" x14ac:dyDescent="0.35">
      <c r="B55" s="6" t="s">
        <v>14</v>
      </c>
      <c r="E55" s="62">
        <f>IF(E28="nee",E31,I28)</f>
        <v>55</v>
      </c>
      <c r="F55" s="11" t="s">
        <v>23</v>
      </c>
      <c r="G55" s="6" t="s">
        <v>13</v>
      </c>
      <c r="I55" s="63">
        <f>E55*E19/1000000</f>
        <v>0.12732499999999999</v>
      </c>
      <c r="L55" s="86">
        <f>AL60</f>
        <v>1.6819999999999999</v>
      </c>
      <c r="M55" s="6" t="s">
        <v>13</v>
      </c>
      <c r="O55" s="63">
        <f>I55*L55</f>
        <v>0.21416064999999998</v>
      </c>
      <c r="Q55" s="117"/>
      <c r="R55" s="117" t="s">
        <v>13</v>
      </c>
      <c r="S55" s="117"/>
      <c r="T55" s="154" t="s">
        <v>43</v>
      </c>
      <c r="U55" s="117"/>
      <c r="V55" s="189" t="s">
        <v>13</v>
      </c>
      <c r="W55" s="137"/>
      <c r="X55" s="191">
        <f>1/(0.17+AV50+AV50+AV60)</f>
        <v>1.0484119642306506</v>
      </c>
      <c r="Y55" s="191">
        <f>1/(0.17+AV51+AV51+AV61)</f>
        <v>0.8236434108527132</v>
      </c>
      <c r="Z55" s="191">
        <f>1/(0.17+AV51+AV51+AV62)</f>
        <v>0.64972291228740686</v>
      </c>
      <c r="AA55" s="191">
        <f>1/(0.17+AV51+AV51+AV57)</f>
        <v>0.3937039314491978</v>
      </c>
      <c r="AB55" s="191">
        <f>1/(0.17+AV52+AV52+AV60)</f>
        <v>1.011676830709592</v>
      </c>
      <c r="AC55" s="191">
        <f>1/(0.17+AV53+AV53+AV61)</f>
        <v>0.78769140164899887</v>
      </c>
      <c r="AD55" s="191">
        <f>1/(0.17+AV53+AV53+AV62)</f>
        <v>0.62714298273891511</v>
      </c>
      <c r="AE55" s="191">
        <f>1/(0.17+AV53+AV53+AV63)</f>
        <v>0.50773464933092916</v>
      </c>
      <c r="AF55" s="155"/>
      <c r="AG55" s="192">
        <f>IF(AG52=39,X55,IF(AG52=54,Y55,IF(AG52=67,Z55,IF(AG52=82,AA55))))</f>
        <v>0.8236434108527132</v>
      </c>
      <c r="AH55" s="149"/>
      <c r="AI55" s="193">
        <f>IF(AI52=39,AB55,IF(AI52=54,AC55,IF(AI52=67,AD55,IF(AI52=82,AE55))))</f>
        <v>0.78769140164899887</v>
      </c>
      <c r="AJ55" s="155"/>
      <c r="AK55" s="154"/>
      <c r="AL55" s="194">
        <f>IF(AL51="susplex",AG55,IF(AL51="tricoya",AI55))</f>
        <v>0.8236434108527132</v>
      </c>
      <c r="AM55" s="117">
        <v>55</v>
      </c>
      <c r="AN55" s="117" t="s">
        <v>227</v>
      </c>
      <c r="AO55" s="117"/>
      <c r="AP55" s="117"/>
      <c r="AQ55" s="117"/>
      <c r="AR55" s="117"/>
      <c r="AS55" s="117"/>
      <c r="AT55" s="164">
        <v>38</v>
      </c>
      <c r="AU55" s="164">
        <v>2.9000000000000001E-2</v>
      </c>
      <c r="AV55" s="165">
        <f t="shared" si="6"/>
        <v>1.3103448275862069</v>
      </c>
    </row>
    <row r="56" spans="1:48" s="6" customFormat="1" ht="15" customHeight="1" x14ac:dyDescent="0.45">
      <c r="B56" s="6" t="s">
        <v>16</v>
      </c>
      <c r="E56" s="62">
        <f>E32</f>
        <v>55</v>
      </c>
      <c r="F56" s="11" t="s">
        <v>23</v>
      </c>
      <c r="G56" s="6" t="s">
        <v>13</v>
      </c>
      <c r="I56" s="63">
        <f>E56*(E18-E55-E58)/1000000</f>
        <v>4.3450000000000003E-2</v>
      </c>
      <c r="L56" s="87">
        <f>AL61</f>
        <v>1.6819999999999999</v>
      </c>
      <c r="M56" s="6" t="s">
        <v>13</v>
      </c>
      <c r="O56" s="63">
        <f t="shared" ref="O56:O61" si="7">I56*L56</f>
        <v>7.3082900000000006E-2</v>
      </c>
      <c r="Q56" s="117"/>
      <c r="R56" s="195" t="s">
        <v>13</v>
      </c>
      <c r="S56" s="117"/>
      <c r="T56" s="154" t="s">
        <v>225</v>
      </c>
      <c r="U56" s="117"/>
      <c r="V56" s="117"/>
      <c r="W56" s="137"/>
      <c r="X56" s="196" t="s">
        <v>108</v>
      </c>
      <c r="Y56" s="191">
        <f>1/(0.17+AV50+AV50+AV64+AV65)</f>
        <v>0.87480702786150111</v>
      </c>
      <c r="Z56" s="191">
        <f>1/(0.17+AV50+AV50+AV64+AV66)</f>
        <v>0.66026743605393112</v>
      </c>
      <c r="AA56" s="143" t="s">
        <v>108</v>
      </c>
      <c r="AB56" s="197" t="s">
        <v>108</v>
      </c>
      <c r="AC56" s="198" t="s">
        <v>108</v>
      </c>
      <c r="AD56" s="198" t="s">
        <v>108</v>
      </c>
      <c r="AE56" s="198" t="s">
        <v>108</v>
      </c>
      <c r="AF56" s="155"/>
      <c r="AG56" s="192">
        <f>IF(AG52=39,X56,IF(AG52=54,Y56,IF(AG52=67,Z56,IF(AG52=82,AA56))))</f>
        <v>0.87480702786150111</v>
      </c>
      <c r="AH56" s="88"/>
      <c r="AI56" s="193" t="str">
        <f>IF(AI52=39,AB56,IF(AI52=54,AC56,IF(AI52=67,AD56,IF(AG52=82,AE56))))</f>
        <v>na</v>
      </c>
      <c r="AJ56" s="155"/>
      <c r="AK56" s="154"/>
      <c r="AL56" s="194">
        <f>IF(AL51="susplex",AG56,IF(AL51="tricoya",AI56))</f>
        <v>0.87480702786150111</v>
      </c>
      <c r="AM56" s="117">
        <v>56</v>
      </c>
      <c r="AN56" s="117"/>
      <c r="AO56" s="117"/>
      <c r="AP56" s="117"/>
      <c r="AQ56" s="117"/>
      <c r="AR56" s="117"/>
      <c r="AS56" s="117"/>
      <c r="AT56" s="164">
        <v>51</v>
      </c>
      <c r="AU56" s="164">
        <v>2.9000000000000001E-2</v>
      </c>
      <c r="AV56" s="165">
        <f t="shared" si="6"/>
        <v>1.7586206896551724</v>
      </c>
    </row>
    <row r="57" spans="1:48" s="6" customFormat="1" ht="13.15" customHeight="1" x14ac:dyDescent="0.45">
      <c r="B57" s="6" t="s">
        <v>17</v>
      </c>
      <c r="E57" s="62">
        <f>E33</f>
        <v>165</v>
      </c>
      <c r="F57" s="11" t="s">
        <v>23</v>
      </c>
      <c r="G57" s="6" t="s">
        <v>13</v>
      </c>
      <c r="I57" s="63">
        <f>E57*(E18-E55-E58)/1000000</f>
        <v>0.13034999999999999</v>
      </c>
      <c r="L57" s="87">
        <f>AL62</f>
        <v>1.6819999999999999</v>
      </c>
      <c r="M57" s="6" t="s">
        <v>13</v>
      </c>
      <c r="O57" s="63">
        <f t="shared" si="7"/>
        <v>0.21924869999999999</v>
      </c>
      <c r="Q57" s="117"/>
      <c r="R57" s="195"/>
      <c r="S57" s="117"/>
      <c r="T57" s="154"/>
      <c r="U57" s="117"/>
      <c r="V57" s="117"/>
      <c r="W57" s="155"/>
      <c r="X57" s="199"/>
      <c r="Y57" s="200"/>
      <c r="Z57" s="200"/>
      <c r="AA57" s="200"/>
      <c r="AB57" s="201"/>
      <c r="AC57" s="200"/>
      <c r="AD57" s="200"/>
      <c r="AE57" s="202"/>
      <c r="AF57" s="155"/>
      <c r="AG57" s="154"/>
      <c r="AH57" s="117"/>
      <c r="AI57" s="203"/>
      <c r="AJ57" s="155"/>
      <c r="AK57" s="154"/>
      <c r="AL57" s="109"/>
      <c r="AM57" s="117"/>
      <c r="AN57" s="117"/>
      <c r="AO57" s="117"/>
      <c r="AP57" s="117"/>
      <c r="AQ57" s="117"/>
      <c r="AR57" s="117"/>
      <c r="AS57" s="117"/>
      <c r="AT57" s="164">
        <v>66</v>
      </c>
      <c r="AU57" s="164">
        <v>2.9000000000000001E-2</v>
      </c>
      <c r="AV57" s="165">
        <f t="shared" si="6"/>
        <v>2.2758620689655173</v>
      </c>
    </row>
    <row r="58" spans="1:48" s="6" customFormat="1" ht="13.15" customHeight="1" x14ac:dyDescent="0.35">
      <c r="B58" s="6" t="s">
        <v>15</v>
      </c>
      <c r="E58" s="62">
        <f>E34</f>
        <v>55</v>
      </c>
      <c r="F58" s="11" t="s">
        <v>23</v>
      </c>
      <c r="G58" s="6" t="s">
        <v>13</v>
      </c>
      <c r="I58" s="63">
        <f>E58*E19/1000000</f>
        <v>0.12732499999999999</v>
      </c>
      <c r="L58" s="86">
        <f>IF(E25="geen",AL63,IF(E25="B30",AL64,IF(E25="B60",AL65)))</f>
        <v>1.9730000000000001</v>
      </c>
      <c r="M58" s="26" t="str">
        <f>IF(L58="na","niet in BW-uitv.", " ")</f>
        <v xml:space="preserve"> </v>
      </c>
      <c r="O58" s="63">
        <f t="shared" si="7"/>
        <v>0.25121222500000001</v>
      </c>
      <c r="Q58" s="117"/>
      <c r="R58" s="117"/>
      <c r="S58" s="117"/>
      <c r="T58" s="204" t="s">
        <v>148</v>
      </c>
      <c r="U58" s="205"/>
      <c r="V58" s="206"/>
      <c r="W58" s="172"/>
      <c r="X58" s="207" t="s">
        <v>89</v>
      </c>
      <c r="Y58" s="208"/>
      <c r="Z58" s="208"/>
      <c r="AA58" s="208"/>
      <c r="AB58" s="209" t="s">
        <v>70</v>
      </c>
      <c r="AC58" s="208"/>
      <c r="AD58" s="208"/>
      <c r="AE58" s="202"/>
      <c r="AF58" s="155"/>
      <c r="AG58" s="112" t="s">
        <v>89</v>
      </c>
      <c r="AH58" s="88"/>
      <c r="AI58" s="210" t="s">
        <v>70</v>
      </c>
      <c r="AJ58" s="155"/>
      <c r="AK58" s="154"/>
      <c r="AL58" s="169" t="str">
        <f>E21</f>
        <v>susplex</v>
      </c>
      <c r="AM58" s="117">
        <v>58</v>
      </c>
      <c r="AN58" s="117"/>
      <c r="AO58" s="117"/>
      <c r="AP58" s="117"/>
      <c r="AQ58" s="117"/>
      <c r="AR58" s="117"/>
      <c r="AS58" s="117" t="s">
        <v>82</v>
      </c>
      <c r="AT58" s="164">
        <v>29</v>
      </c>
      <c r="AU58" s="164">
        <v>0.11</v>
      </c>
      <c r="AV58" s="165">
        <f t="shared" si="6"/>
        <v>0.26363636363636361</v>
      </c>
    </row>
    <row r="59" spans="1:48" s="6" customFormat="1" ht="15" customHeight="1" x14ac:dyDescent="0.35">
      <c r="B59" s="6" t="s">
        <v>20</v>
      </c>
      <c r="E59" s="62">
        <v>1</v>
      </c>
      <c r="F59" s="11" t="s">
        <v>24</v>
      </c>
      <c r="G59" s="6" t="s">
        <v>13</v>
      </c>
      <c r="I59" s="63">
        <f>(E18*E19)/1000000-I55-I57-I56-I58-I60-I61</f>
        <v>1.3109500000000003</v>
      </c>
      <c r="J59" s="6" t="s">
        <v>13</v>
      </c>
      <c r="K59" s="26" t="str">
        <f>IF(I59&lt;0.5,"FOUT", " ")</f>
        <v xml:space="preserve"> </v>
      </c>
      <c r="L59" s="87">
        <f>IF(E22="vuren",AL53,IF(E22="XPS",AL54,IF(E22="Kurk",AL55,IF(E22="thermacore",AL56))))</f>
        <v>0.87480702786150111</v>
      </c>
      <c r="M59" s="6" t="s">
        <v>13</v>
      </c>
      <c r="O59" s="63">
        <f>I59*L59</f>
        <v>1.1468282731750352</v>
      </c>
      <c r="P59" s="6" t="s">
        <v>13</v>
      </c>
      <c r="Q59" s="117"/>
      <c r="R59" s="117"/>
      <c r="S59" s="117"/>
      <c r="T59" s="207"/>
      <c r="U59" s="208"/>
      <c r="V59" s="208"/>
      <c r="W59" s="211"/>
      <c r="X59" s="212" t="s">
        <v>197</v>
      </c>
      <c r="Y59" s="213">
        <v>54</v>
      </c>
      <c r="Z59" s="213">
        <v>67</v>
      </c>
      <c r="AA59" s="213">
        <v>82</v>
      </c>
      <c r="AB59" s="212" t="s">
        <v>197</v>
      </c>
      <c r="AC59" s="214">
        <v>54</v>
      </c>
      <c r="AD59" s="214">
        <v>67</v>
      </c>
      <c r="AE59" s="215">
        <v>82</v>
      </c>
      <c r="AF59" s="160"/>
      <c r="AG59" s="216">
        <f>E20</f>
        <v>54</v>
      </c>
      <c r="AH59" s="217"/>
      <c r="AI59" s="218">
        <f>E20</f>
        <v>54</v>
      </c>
      <c r="AJ59" s="219"/>
      <c r="AK59" s="199"/>
      <c r="AL59" s="220">
        <f>AG59</f>
        <v>54</v>
      </c>
      <c r="AM59" s="117"/>
      <c r="AN59" s="117"/>
      <c r="AO59" s="117"/>
      <c r="AP59" s="117"/>
      <c r="AQ59" s="117"/>
      <c r="AR59" s="117"/>
      <c r="AS59" s="117"/>
      <c r="AT59" s="164">
        <v>38</v>
      </c>
      <c r="AU59" s="164">
        <v>0.11</v>
      </c>
      <c r="AV59" s="165">
        <f t="shared" si="6"/>
        <v>0.34545454545454546</v>
      </c>
    </row>
    <row r="60" spans="1:48" s="6" customFormat="1" ht="15" customHeight="1" x14ac:dyDescent="0.35">
      <c r="B60" s="6" t="s">
        <v>18</v>
      </c>
      <c r="E60" s="62">
        <f>SUM(E40:E46)</f>
        <v>1</v>
      </c>
      <c r="F60" s="11" t="s">
        <v>24</v>
      </c>
      <c r="G60" s="6" t="s">
        <v>13</v>
      </c>
      <c r="I60" s="63">
        <f>SUM(O40:O46)</f>
        <v>0.14410000000000001</v>
      </c>
      <c r="L60" s="86">
        <f>IF(AND(E37="T",E25="geen"),AL69,IF(AND(E37="T",E25="B30"),AL70,IF(AND(E37="T",E25="B60"),AL71,IF(E37="TX",AL72))))</f>
        <v>1.554</v>
      </c>
      <c r="M60" s="6" t="s">
        <v>13</v>
      </c>
      <c r="O60" s="63">
        <f t="shared" si="7"/>
        <v>0.2239314</v>
      </c>
      <c r="Q60" s="117"/>
      <c r="R60" s="117"/>
      <c r="S60" s="117"/>
      <c r="T60" s="154" t="s">
        <v>84</v>
      </c>
      <c r="U60" s="117"/>
      <c r="V60" s="117"/>
      <c r="W60" s="88"/>
      <c r="X60" s="182">
        <v>2.1909999999999998</v>
      </c>
      <c r="Y60" s="148">
        <v>1.6819999999999999</v>
      </c>
      <c r="Z60" s="148">
        <v>1.4379999999999999</v>
      </c>
      <c r="AA60" s="148">
        <v>1.296</v>
      </c>
      <c r="AB60" s="221">
        <v>1.954</v>
      </c>
      <c r="AC60" s="191">
        <v>1.61</v>
      </c>
      <c r="AD60" s="191">
        <v>1.385</v>
      </c>
      <c r="AE60" s="148">
        <v>1.2090000000000001</v>
      </c>
      <c r="AF60" s="155"/>
      <c r="AG60" s="184">
        <f>IF(AG59=39,X60,IF(AG59=54,Y60,IF(AG59=67,Z60,IF(AG59=82,AA60))))</f>
        <v>1.6819999999999999</v>
      </c>
      <c r="AH60" s="222"/>
      <c r="AI60" s="223">
        <f>IF(AI59=39,AB60,IF(AI59=54,AC60,IF(AI59=67,AD60,IF(AG52=82,AE60))))</f>
        <v>1.61</v>
      </c>
      <c r="AJ60" s="160"/>
      <c r="AK60" s="224" t="s">
        <v>13</v>
      </c>
      <c r="AL60" s="188">
        <f>IF(AL58="susplex",AG60,IF(AL58="tricoya",AI60))</f>
        <v>1.6819999999999999</v>
      </c>
      <c r="AM60" s="117">
        <v>60</v>
      </c>
      <c r="AN60" s="117"/>
      <c r="AO60" s="117"/>
      <c r="AP60" s="117"/>
      <c r="AQ60" s="117"/>
      <c r="AR60" s="117"/>
      <c r="AS60" s="117" t="s">
        <v>43</v>
      </c>
      <c r="AT60" s="164">
        <v>29</v>
      </c>
      <c r="AU60" s="164">
        <v>0.04</v>
      </c>
      <c r="AV60" s="165">
        <f t="shared" si="6"/>
        <v>0.72499999999999998</v>
      </c>
    </row>
    <row r="61" spans="1:48" s="6" customFormat="1" ht="15" customHeight="1" thickBot="1" x14ac:dyDescent="0.4">
      <c r="B61" s="6" t="s">
        <v>19</v>
      </c>
      <c r="E61" s="62">
        <f>SUM(E40:E46)</f>
        <v>1</v>
      </c>
      <c r="F61" s="11" t="s">
        <v>24</v>
      </c>
      <c r="G61" s="6" t="s">
        <v>13</v>
      </c>
      <c r="I61" s="64">
        <f>SUM(K40:K46)</f>
        <v>0.2</v>
      </c>
      <c r="J61" s="7" t="s">
        <v>104</v>
      </c>
      <c r="L61" s="86">
        <f>E49</f>
        <v>0.6</v>
      </c>
      <c r="M61" s="6" t="s">
        <v>13</v>
      </c>
      <c r="O61" s="64">
        <f t="shared" si="7"/>
        <v>0.12</v>
      </c>
      <c r="P61" s="7" t="s">
        <v>104</v>
      </c>
      <c r="Q61" s="117"/>
      <c r="R61" s="117"/>
      <c r="S61" s="117"/>
      <c r="T61" s="154" t="s">
        <v>85</v>
      </c>
      <c r="U61" s="117"/>
      <c r="V61" s="117"/>
      <c r="W61" s="117"/>
      <c r="X61" s="190">
        <v>2.2130000000000001</v>
      </c>
      <c r="Y61" s="191">
        <f>Y60</f>
        <v>1.6819999999999999</v>
      </c>
      <c r="Z61" s="191">
        <f>Z60</f>
        <v>1.4379999999999999</v>
      </c>
      <c r="AA61" s="191">
        <v>1.296</v>
      </c>
      <c r="AB61" s="197">
        <v>2.0550000000000002</v>
      </c>
      <c r="AC61" s="191">
        <f>AC60</f>
        <v>1.61</v>
      </c>
      <c r="AD61" s="191">
        <f>AD60</f>
        <v>1.385</v>
      </c>
      <c r="AE61" s="191">
        <v>1.2090000000000001</v>
      </c>
      <c r="AF61" s="155"/>
      <c r="AG61" s="225">
        <f>IF(AG59=39,X61,IF(AG59=54,Y61,IF(AG59=67,Z61,IF(AG59=82,AA61))))</f>
        <v>1.6819999999999999</v>
      </c>
      <c r="AH61" s="226"/>
      <c r="AI61" s="225">
        <f>IF(AI59=39,AB61,IF(AI59=54,AC61,IF(AI59=67,AD61,IF(AI59=82,AE61))))</f>
        <v>1.61</v>
      </c>
      <c r="AJ61" s="155"/>
      <c r="AK61" s="227" t="s">
        <v>13</v>
      </c>
      <c r="AL61" s="194">
        <f>IF(AL58="susplex",AG61,IF(AL58="tricoya",AI61))</f>
        <v>1.6819999999999999</v>
      </c>
      <c r="AM61" s="117">
        <v>61</v>
      </c>
      <c r="AN61" s="117"/>
      <c r="AO61" s="117"/>
      <c r="AP61" s="117"/>
      <c r="AQ61" s="117"/>
      <c r="AR61" s="117"/>
      <c r="AS61" s="117" t="s">
        <v>13</v>
      </c>
      <c r="AT61" s="164">
        <v>38</v>
      </c>
      <c r="AU61" s="164">
        <v>0.04</v>
      </c>
      <c r="AV61" s="165">
        <f t="shared" si="6"/>
        <v>0.95</v>
      </c>
    </row>
    <row r="62" spans="1:48" s="6" customFormat="1" ht="15" customHeight="1" thickTop="1" thickBot="1" x14ac:dyDescent="0.4">
      <c r="E62"/>
      <c r="F62"/>
      <c r="G62"/>
      <c r="H62"/>
      <c r="I62" s="10">
        <f>SUM(I55:I61)</f>
        <v>2.0835000000000004</v>
      </c>
      <c r="J62" s="11" t="s">
        <v>64</v>
      </c>
      <c r="K62" s="20" t="s">
        <v>13</v>
      </c>
      <c r="L62" s="9"/>
      <c r="M62"/>
      <c r="N62"/>
      <c r="O62" s="10">
        <f>SUM(O55:O61)</f>
        <v>2.2484641481750351</v>
      </c>
      <c r="Q62" s="117"/>
      <c r="R62" s="117"/>
      <c r="S62" s="117"/>
      <c r="T62" s="154" t="s">
        <v>86</v>
      </c>
      <c r="U62" s="117"/>
      <c r="V62" s="117" t="s">
        <v>13</v>
      </c>
      <c r="W62" s="88"/>
      <c r="X62" s="190">
        <v>2.2130000000000001</v>
      </c>
      <c r="Y62" s="191">
        <f>Y61</f>
        <v>1.6819999999999999</v>
      </c>
      <c r="Z62" s="191">
        <v>1.5229999999999999</v>
      </c>
      <c r="AA62" s="191">
        <v>1.296</v>
      </c>
      <c r="AB62" s="228">
        <v>2.0550000000000002</v>
      </c>
      <c r="AC62" s="191">
        <f>AC61</f>
        <v>1.61</v>
      </c>
      <c r="AD62" s="191">
        <v>1.405</v>
      </c>
      <c r="AE62" s="191">
        <v>1.2090000000000001</v>
      </c>
      <c r="AF62" s="155"/>
      <c r="AG62" s="225">
        <f>IF(AG59=39,X62,IF(AG59=54,Y62,IF(AG59=67,Z62,IF(AG59=82,AA62))))</f>
        <v>1.6819999999999999</v>
      </c>
      <c r="AH62" s="226"/>
      <c r="AI62" s="225">
        <f>IF(AI59=39,AB62,IF(AI59=54,AC62,IF(AI59=67,AD62,IF(AI59=82,AE62))))</f>
        <v>1.61</v>
      </c>
      <c r="AJ62" s="155"/>
      <c r="AK62" s="227" t="s">
        <v>13</v>
      </c>
      <c r="AL62" s="194">
        <f>IF(AL58="susplex",AG62,IF(AL58="tricoya",AI62))</f>
        <v>1.6819999999999999</v>
      </c>
      <c r="AM62" s="117">
        <v>62</v>
      </c>
      <c r="AN62" s="117"/>
      <c r="AO62" s="117"/>
      <c r="AP62" s="117"/>
      <c r="AQ62" s="117"/>
      <c r="AR62" s="117"/>
      <c r="AS62" s="117"/>
      <c r="AT62" s="164">
        <v>51</v>
      </c>
      <c r="AU62" s="164">
        <v>0.04</v>
      </c>
      <c r="AV62" s="165">
        <f t="shared" si="6"/>
        <v>1.2749999999999999</v>
      </c>
    </row>
    <row r="63" spans="1:48" s="6" customFormat="1" ht="15" customHeight="1" thickBot="1" x14ac:dyDescent="0.4">
      <c r="E63" s="44" t="str">
        <f>IF(I59&lt;=0.5,"glasoppervlak te groot", " ")</f>
        <v xml:space="preserve"> </v>
      </c>
      <c r="F63" s="45"/>
      <c r="G63" s="46"/>
      <c r="I63" s="10"/>
      <c r="L63" s="44" t="str">
        <f>IF(L59="na","Variant bestaat niet", " ")</f>
        <v xml:space="preserve"> </v>
      </c>
      <c r="M63" s="45"/>
      <c r="N63" s="46"/>
      <c r="O63" s="8"/>
      <c r="Q63" s="117"/>
      <c r="R63" s="117"/>
      <c r="S63" s="117"/>
      <c r="T63" s="154" t="s">
        <v>83</v>
      </c>
      <c r="U63" s="117"/>
      <c r="V63" s="117"/>
      <c r="W63" s="117"/>
      <c r="X63" s="196">
        <v>2.4260000000000002</v>
      </c>
      <c r="Y63" s="198">
        <v>1.9730000000000001</v>
      </c>
      <c r="Z63" s="191">
        <f>Z62</f>
        <v>1.5229999999999999</v>
      </c>
      <c r="AA63" s="191">
        <v>1.296</v>
      </c>
      <c r="AB63" s="197">
        <v>2.1320000000000001</v>
      </c>
      <c r="AC63" s="198">
        <v>1.752</v>
      </c>
      <c r="AD63" s="191">
        <f>AD62</f>
        <v>1.405</v>
      </c>
      <c r="AE63" s="191">
        <v>1.2090000000000001</v>
      </c>
      <c r="AF63" s="229"/>
      <c r="AG63" s="225">
        <f>IF(AG59=39,X63,IF(AG59=54,Y63,IF(AG59=67,Z63,IF(AG59=82,AA63))))</f>
        <v>1.9730000000000001</v>
      </c>
      <c r="AH63" s="226"/>
      <c r="AI63" s="225">
        <f>IF(AI59=39,AB63,IF(AI59=54,AC63,IF(AI59=67,AD63,IF(AI59=82,AE63))))</f>
        <v>1.752</v>
      </c>
      <c r="AJ63" s="155"/>
      <c r="AK63" s="227"/>
      <c r="AL63" s="194">
        <f>IF(AL58="susplex",AG63,IF(AL58="tricoya",AI63))</f>
        <v>1.9730000000000001</v>
      </c>
      <c r="AM63" s="117">
        <v>63</v>
      </c>
      <c r="AN63" s="117"/>
      <c r="AO63" s="117"/>
      <c r="AP63" s="117"/>
      <c r="AQ63" s="117"/>
      <c r="AR63" s="117"/>
      <c r="AS63" s="117"/>
      <c r="AT63" s="164">
        <v>66</v>
      </c>
      <c r="AU63" s="164">
        <v>0.04</v>
      </c>
      <c r="AV63" s="165">
        <f t="shared" si="6"/>
        <v>1.65</v>
      </c>
    </row>
    <row r="64" spans="1:48" s="6" customFormat="1" x14ac:dyDescent="0.35">
      <c r="A64" s="42" t="s">
        <v>126</v>
      </c>
      <c r="E64"/>
      <c r="I64" s="10" t="s">
        <v>110</v>
      </c>
      <c r="L64" s="13" t="s">
        <v>68</v>
      </c>
      <c r="O64" s="8" t="s">
        <v>111</v>
      </c>
      <c r="P64" s="11" t="s">
        <v>112</v>
      </c>
      <c r="Q64" s="117"/>
      <c r="R64" s="117"/>
      <c r="S64" s="117"/>
      <c r="T64" s="154" t="s">
        <v>101</v>
      </c>
      <c r="U64" s="117"/>
      <c r="V64" s="117" t="s">
        <v>13</v>
      </c>
      <c r="W64" s="88"/>
      <c r="X64" s="190">
        <v>2.4369999999999998</v>
      </c>
      <c r="Y64" s="191">
        <v>1.9730000000000001</v>
      </c>
      <c r="Z64" s="191">
        <v>1.5229999999999999</v>
      </c>
      <c r="AA64" s="191" t="s">
        <v>108</v>
      </c>
      <c r="AB64" s="228">
        <v>2.14</v>
      </c>
      <c r="AC64" s="191">
        <v>1.752</v>
      </c>
      <c r="AD64" s="191">
        <v>1.405</v>
      </c>
      <c r="AE64" s="191" t="s">
        <v>108</v>
      </c>
      <c r="AF64" s="155"/>
      <c r="AG64" s="225">
        <f>IF(AG59=39,X64,IF(AG59=54,Y64,IF(AG59=67,Z64,IF(AG59=82,AA64))))</f>
        <v>1.9730000000000001</v>
      </c>
      <c r="AH64" s="226"/>
      <c r="AI64" s="225">
        <f>IF(AI59=39,AB64,IF(AI59=54,AC64,IF(AI59=67,AD64,IF(AI59=82,AE64))))</f>
        <v>1.752</v>
      </c>
      <c r="AJ64" s="155"/>
      <c r="AK64" s="227"/>
      <c r="AL64" s="194">
        <f>IF(AL58="susplex",AG64,IF(AL58="tricoya",AI64))</f>
        <v>1.9730000000000001</v>
      </c>
      <c r="AM64" s="117">
        <v>64</v>
      </c>
      <c r="AN64" s="117"/>
      <c r="AO64" s="117"/>
      <c r="AP64" s="117"/>
      <c r="AQ64" s="117"/>
      <c r="AR64" s="117"/>
      <c r="AS64" s="117" t="s">
        <v>192</v>
      </c>
      <c r="AT64" s="164">
        <v>24</v>
      </c>
      <c r="AU64" s="164">
        <v>7.0000000000000007E-2</v>
      </c>
      <c r="AV64" s="165">
        <f t="shared" si="6"/>
        <v>0.34285714285714286</v>
      </c>
    </row>
    <row r="65" spans="1:48" s="6" customFormat="1" x14ac:dyDescent="0.35">
      <c r="B65" s="6" t="s">
        <v>21</v>
      </c>
      <c r="E65" t="s">
        <v>13</v>
      </c>
      <c r="F65" s="6" t="s">
        <v>13</v>
      </c>
      <c r="I65" s="63">
        <f>L47</f>
        <v>2.4</v>
      </c>
      <c r="J65" s="11" t="s">
        <v>13</v>
      </c>
      <c r="L65" s="62">
        <f>E50</f>
        <v>0.04</v>
      </c>
      <c r="M65" s="11" t="s">
        <v>13</v>
      </c>
      <c r="O65" s="63">
        <f t="shared" ref="O65:O66" si="8">I65*L65</f>
        <v>9.6000000000000002E-2</v>
      </c>
      <c r="Q65" s="117"/>
      <c r="R65" s="117"/>
      <c r="S65" s="117"/>
      <c r="T65" s="154" t="s">
        <v>102</v>
      </c>
      <c r="U65" s="117"/>
      <c r="V65" s="117" t="s">
        <v>13</v>
      </c>
      <c r="W65" s="137"/>
      <c r="X65" s="190" t="s">
        <v>108</v>
      </c>
      <c r="Y65" s="191">
        <v>1.9730000000000001</v>
      </c>
      <c r="Z65" s="191">
        <v>1.5229999999999999</v>
      </c>
      <c r="AA65" s="191" t="s">
        <v>108</v>
      </c>
      <c r="AB65" s="228" t="s">
        <v>108</v>
      </c>
      <c r="AC65" s="191" t="s">
        <v>108</v>
      </c>
      <c r="AD65" s="191" t="s">
        <v>108</v>
      </c>
      <c r="AE65" s="191" t="s">
        <v>108</v>
      </c>
      <c r="AF65" s="155"/>
      <c r="AG65" s="192">
        <f>IF(AG59=39,X65,IF(AG59=54,Y65,IF(AG59=67,Z65,IF(AG59=82,AA65))))</f>
        <v>1.9730000000000001</v>
      </c>
      <c r="AH65" s="149"/>
      <c r="AI65" s="193" t="str">
        <f>IF(AI59=39,AB65,IF(AI59=54,AC65,IF(AI59=67,AD65,IF(AI59=82,AE65))))</f>
        <v>na</v>
      </c>
      <c r="AJ65" s="155"/>
      <c r="AK65" s="227"/>
      <c r="AL65" s="194">
        <f>IF(AL58="susplex",AG65,IF(AL58="tricoya",AI65))</f>
        <v>1.9730000000000001</v>
      </c>
      <c r="AM65" s="117">
        <v>65</v>
      </c>
      <c r="AN65" s="117"/>
      <c r="AO65" s="117"/>
      <c r="AP65" s="117"/>
      <c r="AQ65" s="117"/>
      <c r="AR65" s="117"/>
      <c r="AS65" s="117" t="s">
        <v>193</v>
      </c>
      <c r="AT65" s="164">
        <v>20</v>
      </c>
      <c r="AU65" s="164">
        <v>3.5000000000000003E-2</v>
      </c>
      <c r="AV65" s="165">
        <f t="shared" si="6"/>
        <v>0.57142857142857129</v>
      </c>
    </row>
    <row r="66" spans="1:48" s="6" customFormat="1" ht="15" thickBot="1" x14ac:dyDescent="0.4">
      <c r="B66" s="6" t="s">
        <v>67</v>
      </c>
      <c r="E66"/>
      <c r="I66" s="63">
        <f>IF(E51="ja",I51/1000,0)</f>
        <v>0</v>
      </c>
      <c r="J66" s="11" t="s">
        <v>13</v>
      </c>
      <c r="L66" s="62">
        <f>E50</f>
        <v>0.04</v>
      </c>
      <c r="M66" s="11"/>
      <c r="O66" s="64">
        <f t="shared" si="8"/>
        <v>0</v>
      </c>
      <c r="P66" s="7" t="s">
        <v>66</v>
      </c>
      <c r="Q66" s="117"/>
      <c r="R66" s="117"/>
      <c r="S66" s="117"/>
      <c r="T66" s="154" t="s">
        <v>226</v>
      </c>
      <c r="U66" s="117"/>
      <c r="V66" s="117"/>
      <c r="W66" s="137"/>
      <c r="X66" s="196" t="s">
        <v>108</v>
      </c>
      <c r="Y66" s="191">
        <v>1.7629999999999999</v>
      </c>
      <c r="Z66" s="191">
        <v>1.4990000000000001</v>
      </c>
      <c r="AA66" s="198" t="s">
        <v>108</v>
      </c>
      <c r="AB66" s="197" t="s">
        <v>108</v>
      </c>
      <c r="AC66" s="198" t="s">
        <v>108</v>
      </c>
      <c r="AD66" s="198" t="s">
        <v>108</v>
      </c>
      <c r="AE66" s="164" t="s">
        <v>108</v>
      </c>
      <c r="AF66" s="155"/>
      <c r="AG66" s="192">
        <f>IF(AG59=39,X66,IF(AG59=54,Y66,IF(AG59=67,Z66,IF(AG59=82,AA66))))</f>
        <v>1.7629999999999999</v>
      </c>
      <c r="AH66" s="88"/>
      <c r="AI66" s="193" t="str">
        <f>IF(AI59=39,AB66,IF(AI59=54,AC66,IF(AI59=67,AD66,IF(AI59=82,AE66))))</f>
        <v>na</v>
      </c>
      <c r="AJ66" s="155"/>
      <c r="AK66" s="227"/>
      <c r="AL66" s="194">
        <f>IF(AL58="susplex",AG66,IF(AL58="tricoya",AI66))</f>
        <v>1.7629999999999999</v>
      </c>
      <c r="AM66" s="117">
        <v>66</v>
      </c>
      <c r="AN66" s="117"/>
      <c r="AO66" s="117"/>
      <c r="AP66" s="117"/>
      <c r="AQ66" s="117"/>
      <c r="AR66" s="117"/>
      <c r="AS66" s="117"/>
      <c r="AT66" s="164">
        <v>33</v>
      </c>
      <c r="AU66" s="164">
        <v>3.5000000000000003E-2</v>
      </c>
      <c r="AV66" s="165">
        <f t="shared" si="6"/>
        <v>0.94285714285714273</v>
      </c>
    </row>
    <row r="67" spans="1:48" s="6" customFormat="1" ht="15" thickTop="1" x14ac:dyDescent="0.35">
      <c r="E67" s="8"/>
      <c r="I67" s="10"/>
      <c r="L67" s="8"/>
      <c r="O67" s="10">
        <f>SUM(O65:O66)</f>
        <v>9.6000000000000002E-2</v>
      </c>
      <c r="Q67" s="117"/>
      <c r="R67" s="117"/>
      <c r="S67" s="117"/>
      <c r="T67" s="170" t="s">
        <v>149</v>
      </c>
      <c r="U67" s="171"/>
      <c r="V67" s="171"/>
      <c r="W67" s="172"/>
      <c r="X67" s="207" t="s">
        <v>89</v>
      </c>
      <c r="Y67" s="208"/>
      <c r="Z67" s="208"/>
      <c r="AA67" s="208"/>
      <c r="AB67" s="209" t="s">
        <v>70</v>
      </c>
      <c r="AC67" s="208"/>
      <c r="AD67" s="208"/>
      <c r="AE67" s="230"/>
      <c r="AF67" s="219"/>
      <c r="AG67" s="112" t="s">
        <v>89</v>
      </c>
      <c r="AH67" s="88"/>
      <c r="AI67" s="210" t="s">
        <v>70</v>
      </c>
      <c r="AJ67" s="155"/>
      <c r="AK67" s="227"/>
      <c r="AL67" s="169" t="str">
        <f>E21</f>
        <v>susplex</v>
      </c>
      <c r="AM67" s="117">
        <v>67</v>
      </c>
      <c r="AN67" s="117"/>
      <c r="AO67" s="117"/>
      <c r="AP67" s="117"/>
      <c r="AQ67" s="117"/>
      <c r="AR67" s="117"/>
      <c r="AS67" s="117" t="s">
        <v>200</v>
      </c>
      <c r="AT67" s="89">
        <v>29</v>
      </c>
      <c r="AU67" s="89">
        <v>0.13</v>
      </c>
      <c r="AV67" s="231">
        <f t="shared" si="6"/>
        <v>0.22307692307692306</v>
      </c>
    </row>
    <row r="68" spans="1:48" s="6" customFormat="1" ht="12.75" customHeight="1" thickBot="1" x14ac:dyDescent="0.4">
      <c r="E68" s="8"/>
      <c r="I68" s="10"/>
      <c r="L68" s="8"/>
      <c r="O68" s="21"/>
      <c r="P68" s="7" t="s">
        <v>66</v>
      </c>
      <c r="Q68" s="117"/>
      <c r="R68" s="117"/>
      <c r="S68" s="117"/>
      <c r="T68" s="154" t="s">
        <v>42</v>
      </c>
      <c r="U68" s="117"/>
      <c r="V68" s="117" t="s">
        <v>37</v>
      </c>
      <c r="W68" s="155"/>
      <c r="X68" s="212" t="s">
        <v>197</v>
      </c>
      <c r="Y68" s="215">
        <v>54</v>
      </c>
      <c r="Z68" s="215">
        <v>67</v>
      </c>
      <c r="AA68" s="215">
        <v>82</v>
      </c>
      <c r="AB68" s="212" t="s">
        <v>197</v>
      </c>
      <c r="AC68" s="215">
        <v>54</v>
      </c>
      <c r="AD68" s="215">
        <v>67</v>
      </c>
      <c r="AE68" s="232">
        <v>82</v>
      </c>
      <c r="AF68" s="137"/>
      <c r="AG68" s="216">
        <f>E20</f>
        <v>54</v>
      </c>
      <c r="AH68" s="233"/>
      <c r="AI68" s="218">
        <f>E20</f>
        <v>54</v>
      </c>
      <c r="AJ68" s="234"/>
      <c r="AK68" s="235"/>
      <c r="AL68" s="236">
        <f>AG68</f>
        <v>54</v>
      </c>
      <c r="AM68" s="117">
        <v>68</v>
      </c>
      <c r="AN68" s="117"/>
      <c r="AO68" s="117"/>
      <c r="AP68" s="117"/>
      <c r="AQ68" s="117"/>
      <c r="AR68" s="117"/>
      <c r="AS68" s="117" t="s">
        <v>13</v>
      </c>
      <c r="AT68" s="89">
        <v>38</v>
      </c>
      <c r="AU68" s="89">
        <v>0.13</v>
      </c>
      <c r="AV68" s="231">
        <f t="shared" si="6"/>
        <v>0.29230769230769232</v>
      </c>
    </row>
    <row r="69" spans="1:48" s="6" customFormat="1" ht="15.5" thickTop="1" thickBot="1" x14ac:dyDescent="0.4">
      <c r="E69" s="8"/>
      <c r="I69" s="10"/>
      <c r="L69" s="34" t="s">
        <v>115</v>
      </c>
      <c r="O69" s="35">
        <f>O62+O67</f>
        <v>2.3444641481750352</v>
      </c>
      <c r="P69" s="11" t="s">
        <v>112</v>
      </c>
      <c r="Q69" s="117"/>
      <c r="R69" s="117"/>
      <c r="S69" s="117"/>
      <c r="T69" s="237" t="s">
        <v>38</v>
      </c>
      <c r="U69" s="238"/>
      <c r="V69" s="238">
        <v>46</v>
      </c>
      <c r="W69" s="239">
        <v>55</v>
      </c>
      <c r="X69" s="240">
        <v>1.768</v>
      </c>
      <c r="Y69" s="148">
        <v>1.46</v>
      </c>
      <c r="Z69" s="148">
        <v>1.2809999999999999</v>
      </c>
      <c r="AA69" s="148">
        <v>1.21</v>
      </c>
      <c r="AB69" s="241">
        <v>1.623</v>
      </c>
      <c r="AC69" s="148">
        <v>1.423</v>
      </c>
      <c r="AD69" s="148">
        <v>1.252</v>
      </c>
      <c r="AE69" s="191">
        <v>1.1879999999999999</v>
      </c>
      <c r="AF69" s="137"/>
      <c r="AG69" s="184">
        <f>IF(AG68=39,X69,IF(AG68=54,Y69,IF(AG68=67,Z69,IF(AG52=82,AA69))))</f>
        <v>1.46</v>
      </c>
      <c r="AH69" s="242"/>
      <c r="AI69" s="186">
        <f>IF(AI68=39,AB69,IF(AI68=54,AC69,IF(AI68=67,AD69,IF(AG52=82,AE69))))</f>
        <v>1.423</v>
      </c>
      <c r="AJ69" s="181"/>
      <c r="AK69" s="179"/>
      <c r="AL69" s="188">
        <f>IF(AL67="susplex",AG69,IF(AL67="tricoya",AI69))</f>
        <v>1.46</v>
      </c>
      <c r="AM69" s="117">
        <v>69</v>
      </c>
      <c r="AN69" s="117"/>
      <c r="AO69" s="117"/>
      <c r="AP69" s="117"/>
      <c r="AQ69" s="117"/>
      <c r="AR69" s="117"/>
      <c r="AS69" s="117"/>
      <c r="AT69" s="89">
        <v>44</v>
      </c>
      <c r="AU69" s="89">
        <v>0.13</v>
      </c>
      <c r="AV69" s="231">
        <f t="shared" si="6"/>
        <v>0.33846153846153848</v>
      </c>
    </row>
    <row r="70" spans="1:48" ht="15" thickBot="1" x14ac:dyDescent="0.4">
      <c r="A70" s="3" t="s">
        <v>124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5"/>
      <c r="Q70" s="136"/>
      <c r="T70" s="243" t="s">
        <v>39</v>
      </c>
      <c r="U70" s="89"/>
      <c r="V70" s="89">
        <v>46</v>
      </c>
      <c r="W70" s="109">
        <v>55</v>
      </c>
      <c r="X70" s="244">
        <v>1.768</v>
      </c>
      <c r="Y70" s="191">
        <v>1.46</v>
      </c>
      <c r="Z70" s="191">
        <v>1.2809999999999999</v>
      </c>
      <c r="AA70" s="191" t="s">
        <v>108</v>
      </c>
      <c r="AB70" s="197">
        <v>1.623</v>
      </c>
      <c r="AC70" s="191">
        <v>1.423</v>
      </c>
      <c r="AD70" s="191">
        <v>1.252</v>
      </c>
      <c r="AE70" s="191" t="s">
        <v>108</v>
      </c>
      <c r="AF70" s="137"/>
      <c r="AG70" s="192">
        <f>IF(AG68=39,X70,IF(AG68=54,Y70,IF(AG68=67,Z70,IF(AG52=82,AA70))))</f>
        <v>1.46</v>
      </c>
      <c r="AI70" s="193">
        <f>IF(AI68=39,AB70,IF(AI68=54,AC70,IF(AI68=67,AD70,IF(AG52=82,AE70))))</f>
        <v>1.423</v>
      </c>
      <c r="AJ70" s="137"/>
      <c r="AK70" s="112"/>
      <c r="AL70" s="194">
        <f>IF(AL67="susplex",AG70,IF(AL67="tricoya",AI70))</f>
        <v>1.46</v>
      </c>
      <c r="AM70" s="117">
        <v>70</v>
      </c>
      <c r="AN70" s="88" t="s">
        <v>228</v>
      </c>
      <c r="AT70" s="89">
        <v>51</v>
      </c>
      <c r="AU70" s="89">
        <v>0.13</v>
      </c>
      <c r="AV70" s="231">
        <f t="shared" si="6"/>
        <v>0.3923076923076923</v>
      </c>
    </row>
    <row r="71" spans="1:48" ht="12.75" customHeight="1" x14ac:dyDescent="0.35">
      <c r="A71" s="65"/>
      <c r="B71" s="66"/>
      <c r="C71" s="66"/>
      <c r="D71" s="66"/>
      <c r="E71" s="66"/>
      <c r="F71" s="67"/>
      <c r="G71" s="66" t="s">
        <v>203</v>
      </c>
      <c r="H71" s="66"/>
      <c r="I71" s="66"/>
      <c r="J71" s="66"/>
      <c r="K71" s="66"/>
      <c r="L71" s="66"/>
      <c r="M71" s="66"/>
      <c r="N71" s="66"/>
      <c r="O71" s="66"/>
      <c r="P71" s="67"/>
      <c r="T71" s="245" t="s">
        <v>40</v>
      </c>
      <c r="U71" s="230"/>
      <c r="V71" s="230">
        <v>46</v>
      </c>
      <c r="W71" s="246">
        <v>55</v>
      </c>
      <c r="X71" s="247" t="s">
        <v>108</v>
      </c>
      <c r="Y71" s="248">
        <v>1.46</v>
      </c>
      <c r="Z71" s="248">
        <v>1.2809999999999999</v>
      </c>
      <c r="AA71" s="248" t="s">
        <v>108</v>
      </c>
      <c r="AB71" s="249" t="s">
        <v>108</v>
      </c>
      <c r="AC71" s="248">
        <v>1.423</v>
      </c>
      <c r="AD71" s="248">
        <v>1.252</v>
      </c>
      <c r="AE71" s="191" t="s">
        <v>108</v>
      </c>
      <c r="AF71" s="137"/>
      <c r="AG71" s="192">
        <f>IF(AG68=39,X71,IF(AG68=54,Y71,IF(AG68=67,Z71,IF(AG52=82,AA71))))</f>
        <v>1.46</v>
      </c>
      <c r="AI71" s="193">
        <f>IF(AI68=39,AB71,IF(AI68=54,AC71,IF(AI68=67,AD71,IF(AG52=82,AE71))))</f>
        <v>1.423</v>
      </c>
      <c r="AJ71" s="211"/>
      <c r="AK71" s="207"/>
      <c r="AL71" s="250">
        <f>IF(AL67="susplex",AG71,IF(AL67="tricoya",AI71))</f>
        <v>1.46</v>
      </c>
      <c r="AM71" s="117">
        <v>71</v>
      </c>
      <c r="AT71" s="89">
        <v>57</v>
      </c>
      <c r="AU71" s="89">
        <v>0.13</v>
      </c>
      <c r="AV71" s="231">
        <f t="shared" si="6"/>
        <v>0.43846153846153846</v>
      </c>
    </row>
    <row r="72" spans="1:48" ht="15.5" x14ac:dyDescent="0.35">
      <c r="A72" s="28"/>
      <c r="B72" s="2" t="s">
        <v>22</v>
      </c>
      <c r="C72" s="68">
        <f>(O62+O67)/C73</f>
        <v>1.1252527709023448</v>
      </c>
      <c r="D72" s="47" t="s">
        <v>65</v>
      </c>
      <c r="E72" s="2"/>
      <c r="F72" s="29"/>
      <c r="G72" t="s">
        <v>204</v>
      </c>
      <c r="N72" s="2" t="s">
        <v>202</v>
      </c>
      <c r="O72" s="68">
        <f>N82/O73</f>
        <v>1.0666413099200256</v>
      </c>
      <c r="P72" s="69" t="s">
        <v>65</v>
      </c>
      <c r="Q72" s="111"/>
      <c r="T72" s="243" t="s">
        <v>41</v>
      </c>
      <c r="U72" s="89"/>
      <c r="V72" s="89">
        <v>55</v>
      </c>
      <c r="W72" s="109">
        <v>55</v>
      </c>
      <c r="X72" s="244">
        <v>1.877</v>
      </c>
      <c r="Y72" s="191">
        <v>1.554</v>
      </c>
      <c r="Z72" s="191">
        <v>1.327</v>
      </c>
      <c r="AA72" s="251">
        <v>1.2250000000000001</v>
      </c>
      <c r="AB72" s="198">
        <v>1.712</v>
      </c>
      <c r="AC72" s="191">
        <v>1.504</v>
      </c>
      <c r="AD72" s="191">
        <v>1.2909999999999999</v>
      </c>
      <c r="AE72" s="148">
        <v>1.1970000000000001</v>
      </c>
      <c r="AF72" s="137"/>
      <c r="AG72" s="184">
        <f>IF(AG68=39,X72,IF(AG68=54,Y72,IF(AG68=67,Z72,IF(AG52=82,AA72))))</f>
        <v>1.554</v>
      </c>
      <c r="AH72" s="242"/>
      <c r="AI72" s="186">
        <f>IF(AI68=39,AB72,IF(AI68=54,AC72,IF(AI68=67,AD72,IF(AG52=82,AE72))))</f>
        <v>1.504</v>
      </c>
      <c r="AJ72" s="137"/>
      <c r="AK72" s="112"/>
      <c r="AL72" s="194">
        <f>IF(AL67="susplex",AG72,IF(AL67="tricoya",AI72))</f>
        <v>1.554</v>
      </c>
      <c r="AM72" s="117">
        <v>72</v>
      </c>
      <c r="AT72" s="89">
        <v>66</v>
      </c>
      <c r="AU72" s="89">
        <v>0.13</v>
      </c>
      <c r="AV72" s="231">
        <f t="shared" si="6"/>
        <v>0.50769230769230766</v>
      </c>
    </row>
    <row r="73" spans="1:48" ht="15" customHeight="1" x14ac:dyDescent="0.35">
      <c r="A73" s="28"/>
      <c r="B73" s="2" t="s">
        <v>63</v>
      </c>
      <c r="C73" s="68">
        <f>E18*E19/1000000</f>
        <v>2.0834999999999999</v>
      </c>
      <c r="D73" s="47" t="s">
        <v>64</v>
      </c>
      <c r="E73" s="2"/>
      <c r="F73" s="29"/>
      <c r="G73" t="s">
        <v>205</v>
      </c>
      <c r="N73" s="2" t="s">
        <v>216</v>
      </c>
      <c r="O73" s="68">
        <f>I76*L77/1000000</f>
        <v>2.49194</v>
      </c>
      <c r="P73" s="69" t="s">
        <v>64</v>
      </c>
      <c r="T73" s="243" t="s">
        <v>189</v>
      </c>
      <c r="V73" s="89">
        <v>46</v>
      </c>
      <c r="W73" s="137"/>
      <c r="X73" s="196" t="s">
        <v>108</v>
      </c>
      <c r="Y73" s="198">
        <v>1.476</v>
      </c>
      <c r="Z73" s="198">
        <v>1.2889999999999999</v>
      </c>
      <c r="AA73" s="198" t="s">
        <v>108</v>
      </c>
      <c r="AB73" s="198" t="s">
        <v>108</v>
      </c>
      <c r="AC73" s="198" t="s">
        <v>108</v>
      </c>
      <c r="AD73" s="198" t="s">
        <v>108</v>
      </c>
      <c r="AE73" s="198" t="s">
        <v>108</v>
      </c>
      <c r="AF73" s="137"/>
      <c r="AG73" s="252">
        <f>IF(AG68=39,X73,IF(AG68=54,Y73,IF(AG68=67,Z73,IF(AG52=82,AA73))))</f>
        <v>1.476</v>
      </c>
      <c r="AH73" s="208"/>
      <c r="AI73" s="253" t="str">
        <f>IF(AI68=39,AB73,IF(AI68=54,AC73,IF(AI68=67,AD73,IF(AG52=82,AE73))))</f>
        <v>na</v>
      </c>
      <c r="AJ73" s="211"/>
      <c r="AK73" s="207"/>
      <c r="AL73" s="250">
        <f>IF(AL67="susplex",AG73,IF(AL67="tricoya",AI73))</f>
        <v>1.476</v>
      </c>
      <c r="AM73" s="117">
        <v>73</v>
      </c>
      <c r="AT73" s="117"/>
      <c r="AU73" s="117"/>
      <c r="AV73" s="254"/>
    </row>
    <row r="74" spans="1:48" ht="16.5" customHeight="1" thickBot="1" x14ac:dyDescent="0.4">
      <c r="A74" s="70"/>
      <c r="B74" s="71"/>
      <c r="C74" s="71"/>
      <c r="D74" s="71"/>
      <c r="E74" s="71"/>
      <c r="F74" s="72"/>
      <c r="G74" s="71" t="s">
        <v>206</v>
      </c>
      <c r="H74" s="71"/>
      <c r="I74" s="71"/>
      <c r="J74" s="71"/>
      <c r="K74" s="71"/>
      <c r="L74" s="71"/>
      <c r="M74" s="71"/>
      <c r="N74" s="71"/>
      <c r="O74" s="71"/>
      <c r="P74" s="72"/>
      <c r="T74" s="207"/>
      <c r="U74" s="208"/>
      <c r="V74" s="208"/>
      <c r="W74" s="211"/>
      <c r="X74" s="138"/>
      <c r="Y74" s="139"/>
      <c r="Z74" s="139"/>
      <c r="AA74" s="139"/>
      <c r="AB74" s="139"/>
      <c r="AC74" s="139"/>
      <c r="AD74" s="139"/>
      <c r="AE74" s="139"/>
      <c r="AF74" s="141"/>
      <c r="AG74" s="138"/>
      <c r="AH74" s="139"/>
      <c r="AI74" s="139"/>
      <c r="AJ74" s="141"/>
      <c r="AK74" s="138"/>
      <c r="AL74" s="255"/>
    </row>
    <row r="75" spans="1:48" ht="15.5" thickTop="1" thickBot="1" x14ac:dyDescent="0.4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5"/>
      <c r="T75" s="112" t="s">
        <v>38</v>
      </c>
      <c r="X75" s="90">
        <v>55</v>
      </c>
      <c r="Y75" s="91">
        <v>46</v>
      </c>
      <c r="Z75" s="91">
        <v>55</v>
      </c>
      <c r="AA75" s="91">
        <v>50</v>
      </c>
      <c r="AB75" s="91"/>
      <c r="AC75" s="91"/>
      <c r="AD75" s="91"/>
      <c r="AE75" s="91"/>
      <c r="AF75" s="91"/>
      <c r="AG75" s="256">
        <f>IF(AG68=39,X75,IF(AG68=54,Y75,IF(AG68=67,Z75,IF(AG68=82,AA75))))</f>
        <v>46</v>
      </c>
      <c r="AH75" s="131"/>
      <c r="AI75" s="131" t="s">
        <v>154</v>
      </c>
      <c r="AJ75" s="131" t="s">
        <v>13</v>
      </c>
      <c r="AK75" s="257" t="str">
        <f>E37</f>
        <v>TX</v>
      </c>
      <c r="AL75" s="258">
        <f>IF(AK75="T",AG75,IF(AK75="TB",AG76,IF(AK75="TBP",AG77,IF(AK75="TX",AG78,IF(AK75="TC",AG79)))))</f>
        <v>55</v>
      </c>
      <c r="AM75" s="88" t="s">
        <v>177</v>
      </c>
    </row>
    <row r="76" spans="1:48" hidden="1" x14ac:dyDescent="0.35">
      <c r="G76" s="74" t="s">
        <v>214</v>
      </c>
      <c r="H76" s="66"/>
      <c r="I76" s="75">
        <v>2410</v>
      </c>
      <c r="J76" s="75" t="s">
        <v>211</v>
      </c>
      <c r="K76" s="75" t="s">
        <v>212</v>
      </c>
      <c r="L76" s="75" t="s">
        <v>213</v>
      </c>
      <c r="M76" s="83"/>
      <c r="N76" s="83" t="s">
        <v>220</v>
      </c>
      <c r="O76" s="66"/>
      <c r="P76" s="76"/>
      <c r="T76" s="112" t="s">
        <v>39</v>
      </c>
      <c r="X76" s="98">
        <v>55</v>
      </c>
      <c r="Y76" s="100">
        <v>46</v>
      </c>
      <c r="Z76" s="100">
        <v>55</v>
      </c>
      <c r="AA76" s="100" t="s">
        <v>108</v>
      </c>
      <c r="AB76" s="100"/>
      <c r="AC76" s="259" t="s">
        <v>153</v>
      </c>
      <c r="AD76" s="100"/>
      <c r="AE76" s="100"/>
      <c r="AF76" s="100"/>
      <c r="AG76" s="260">
        <f>IF(AG68=39,X76,IF(AG68=54,Y76,IF(AG68=67,Z76,IF(AG68=82,AA76))))</f>
        <v>46</v>
      </c>
      <c r="AL76" s="137"/>
      <c r="AM76" s="117">
        <v>76</v>
      </c>
    </row>
    <row r="77" spans="1:48" hidden="1" x14ac:dyDescent="0.35">
      <c r="G77" s="77" t="s">
        <v>207</v>
      </c>
      <c r="H77" s="12"/>
      <c r="I77" s="12"/>
      <c r="J77" s="73">
        <v>67</v>
      </c>
      <c r="K77" s="82">
        <v>1.1100000000000001</v>
      </c>
      <c r="L77" s="73">
        <v>1034</v>
      </c>
      <c r="M77" s="9" t="s">
        <v>215</v>
      </c>
      <c r="N77" s="78">
        <f>J77*K77*L77/1000000</f>
        <v>7.6898580000000008E-2</v>
      </c>
      <c r="P77" s="25"/>
      <c r="T77" s="112" t="s">
        <v>40</v>
      </c>
      <c r="X77" s="98" t="s">
        <v>108</v>
      </c>
      <c r="Y77" s="100">
        <v>46</v>
      </c>
      <c r="Z77" s="100">
        <v>55</v>
      </c>
      <c r="AA77" s="100" t="s">
        <v>108</v>
      </c>
      <c r="AB77" s="100"/>
      <c r="AC77" s="259" t="s">
        <v>155</v>
      </c>
      <c r="AD77" s="100"/>
      <c r="AE77" s="100"/>
      <c r="AF77" s="100"/>
      <c r="AG77" s="260">
        <f>IF(AG68=39,X77,IF(AG68=54,Y77,IF(AG68=67,Z77,IF(AG68=82,AA77))))</f>
        <v>46</v>
      </c>
      <c r="AL77" s="137"/>
      <c r="AM77" s="117">
        <v>77</v>
      </c>
    </row>
    <row r="78" spans="1:48" hidden="1" x14ac:dyDescent="0.35">
      <c r="G78" s="24" t="s">
        <v>208</v>
      </c>
      <c r="J78" s="9">
        <v>67</v>
      </c>
      <c r="K78" s="78">
        <v>1.1100000000000001</v>
      </c>
      <c r="L78" s="9">
        <f>I76-J77-J80-L79</f>
        <v>2258</v>
      </c>
      <c r="M78" s="9" t="s">
        <v>215</v>
      </c>
      <c r="N78" s="78">
        <f t="shared" ref="N78:N81" si="9">J78*K78*L78/1000000</f>
        <v>0.16792746000000003</v>
      </c>
      <c r="P78" s="25"/>
      <c r="T78" s="112" t="s">
        <v>41</v>
      </c>
      <c r="X78" s="98">
        <v>76</v>
      </c>
      <c r="Y78" s="100">
        <v>55</v>
      </c>
      <c r="Z78" s="100">
        <v>51</v>
      </c>
      <c r="AA78" s="100">
        <v>69</v>
      </c>
      <c r="AB78" s="100"/>
      <c r="AC78" s="100"/>
      <c r="AD78" s="100"/>
      <c r="AE78" s="100"/>
      <c r="AF78" s="229"/>
      <c r="AG78" s="261">
        <f>IF(AG68=39,X78,IF(AG68=54,Y78,IF(AG68=67,Z78,IF(AG68=82,AA78))))</f>
        <v>55</v>
      </c>
      <c r="AL78" s="137"/>
      <c r="AM78" s="117">
        <v>78</v>
      </c>
    </row>
    <row r="79" spans="1:48" ht="15" hidden="1" thickBot="1" x14ac:dyDescent="0.4">
      <c r="G79" s="24" t="s">
        <v>209</v>
      </c>
      <c r="J79" s="9">
        <v>67</v>
      </c>
      <c r="K79" s="78">
        <v>3.37</v>
      </c>
      <c r="L79" s="9">
        <v>30</v>
      </c>
      <c r="M79" s="9" t="s">
        <v>215</v>
      </c>
      <c r="N79" s="78">
        <f t="shared" si="9"/>
        <v>6.7737000000000006E-3</v>
      </c>
      <c r="P79" s="25"/>
      <c r="T79" s="112" t="s">
        <v>189</v>
      </c>
      <c r="V79" s="100"/>
      <c r="W79" s="100"/>
      <c r="X79" s="98" t="s">
        <v>108</v>
      </c>
      <c r="Y79" s="100">
        <v>46</v>
      </c>
      <c r="Z79" s="100">
        <v>46</v>
      </c>
      <c r="AA79" s="100" t="s">
        <v>108</v>
      </c>
      <c r="AB79" s="100"/>
      <c r="AC79" s="100"/>
      <c r="AD79" s="100"/>
      <c r="AE79" s="100"/>
      <c r="AF79" s="229"/>
      <c r="AG79" s="261">
        <f>IF(AG68=39,X79,IF(AG68=54,Y79,IF(AG68=67,Z79,IF(AG68=82,AA79))))</f>
        <v>46</v>
      </c>
      <c r="AH79" s="100"/>
      <c r="AL79" s="137"/>
      <c r="AM79" s="117">
        <v>79</v>
      </c>
    </row>
    <row r="80" spans="1:48" ht="15" hidden="1" thickTop="1" x14ac:dyDescent="0.35">
      <c r="G80" s="24" t="s">
        <v>210</v>
      </c>
      <c r="J80" s="9">
        <v>55</v>
      </c>
      <c r="K80" s="78">
        <v>1.57</v>
      </c>
      <c r="L80" s="9">
        <v>1034</v>
      </c>
      <c r="M80" s="9" t="s">
        <v>215</v>
      </c>
      <c r="N80" s="78">
        <f t="shared" si="9"/>
        <v>8.9285900000000015E-2</v>
      </c>
      <c r="P80" s="25"/>
      <c r="T80" s="130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 t="s">
        <v>235</v>
      </c>
      <c r="AF80" s="131"/>
      <c r="AG80" s="152" t="s">
        <v>236</v>
      </c>
      <c r="AH80" s="131"/>
      <c r="AI80" s="152" t="s">
        <v>237</v>
      </c>
      <c r="AJ80" s="152" t="s">
        <v>238</v>
      </c>
      <c r="AK80" s="152" t="s">
        <v>239</v>
      </c>
      <c r="AL80" s="153" t="s">
        <v>234</v>
      </c>
      <c r="AM80" s="117">
        <v>80</v>
      </c>
    </row>
    <row r="81" spans="7:39" ht="15" hidden="1" thickBot="1" x14ac:dyDescent="0.4">
      <c r="G81" s="24" t="s">
        <v>0</v>
      </c>
      <c r="J81" s="9">
        <f>L77-J77-J78</f>
        <v>900</v>
      </c>
      <c r="K81" s="78">
        <f>C72</f>
        <v>1.1252527709023448</v>
      </c>
      <c r="L81" s="9">
        <f>I76-J77-J80</f>
        <v>2288</v>
      </c>
      <c r="M81" s="9" t="s">
        <v>215</v>
      </c>
      <c r="N81" s="78">
        <f t="shared" si="9"/>
        <v>2.3171205058421083</v>
      </c>
      <c r="P81" s="25"/>
      <c r="T81" s="262" t="s">
        <v>229</v>
      </c>
      <c r="U81" s="206"/>
      <c r="V81" s="206"/>
      <c r="W81" s="206"/>
      <c r="X81" s="263" t="s">
        <v>197</v>
      </c>
      <c r="Y81" s="264">
        <v>54</v>
      </c>
      <c r="Z81" s="264">
        <v>67</v>
      </c>
      <c r="AA81" s="264">
        <v>82</v>
      </c>
      <c r="AB81" s="206"/>
      <c r="AC81" s="206"/>
      <c r="AD81" s="206"/>
      <c r="AE81" s="206"/>
      <c r="AF81" s="206"/>
      <c r="AG81" s="265">
        <f>E20</f>
        <v>54</v>
      </c>
      <c r="AH81" s="208"/>
      <c r="AI81" s="266" t="str">
        <f>E25</f>
        <v>geen</v>
      </c>
      <c r="AJ81" s="266" t="str">
        <f>E26</f>
        <v>nee</v>
      </c>
      <c r="AK81" s="267" t="str">
        <f>E27</f>
        <v>WX</v>
      </c>
      <c r="AL81" s="211"/>
      <c r="AM81" s="117">
        <v>81</v>
      </c>
    </row>
    <row r="82" spans="7:39" ht="15" hidden="1" thickTop="1" x14ac:dyDescent="0.35">
      <c r="G82" s="24"/>
      <c r="N82" s="84">
        <f>SUM(N77:N81)</f>
        <v>2.6580061458421085</v>
      </c>
      <c r="O82" t="s">
        <v>221</v>
      </c>
      <c r="P82" s="25"/>
      <c r="T82" s="268" t="s">
        <v>84</v>
      </c>
      <c r="U82" s="111"/>
      <c r="X82" s="269">
        <v>76</v>
      </c>
      <c r="Y82" s="269">
        <v>55</v>
      </c>
      <c r="Z82" s="269">
        <v>51</v>
      </c>
      <c r="AA82" s="269">
        <v>69</v>
      </c>
      <c r="AB82" s="269"/>
      <c r="AC82" s="269"/>
      <c r="AE82" s="270">
        <v>82</v>
      </c>
      <c r="AG82" s="260">
        <f>IF(AG81=39,X82,IF(AG81=54,Y82,IF(AG81=67,Z82,IF(AG81=82,AA82))))</f>
        <v>55</v>
      </c>
      <c r="AK82" s="88" t="s">
        <v>84</v>
      </c>
      <c r="AL82" s="271">
        <f>AG82</f>
        <v>55</v>
      </c>
      <c r="AM82" s="117">
        <v>82</v>
      </c>
    </row>
    <row r="83" spans="7:39" hidden="1" x14ac:dyDescent="0.35">
      <c r="G83" s="80" t="s">
        <v>218</v>
      </c>
      <c r="P83" s="25"/>
      <c r="T83" s="268" t="s">
        <v>85</v>
      </c>
      <c r="U83" s="111" t="s">
        <v>13</v>
      </c>
      <c r="X83" s="272">
        <v>76</v>
      </c>
      <c r="Y83" s="272">
        <v>55</v>
      </c>
      <c r="Z83" s="272">
        <v>51</v>
      </c>
      <c r="AA83" s="272">
        <v>69</v>
      </c>
      <c r="AB83" s="272"/>
      <c r="AC83" s="272"/>
      <c r="AD83" s="242"/>
      <c r="AE83" s="273">
        <v>83</v>
      </c>
      <c r="AG83" s="260">
        <f>IF(AG68=39,X83,IF(AG68=54,Y83,IF(AG68=67,Z83,IF(AG68=82,AA83))))</f>
        <v>55</v>
      </c>
      <c r="AI83" s="242"/>
      <c r="AJ83" s="242"/>
      <c r="AK83" s="242" t="s">
        <v>85</v>
      </c>
      <c r="AL83" s="274">
        <f>IF(AI81="B30",AG84,IF(AI81="B60",AG85,AG83))</f>
        <v>55</v>
      </c>
      <c r="AM83" s="117">
        <v>83</v>
      </c>
    </row>
    <row r="84" spans="7:39" hidden="1" x14ac:dyDescent="0.35">
      <c r="G84" s="81" t="s">
        <v>219</v>
      </c>
      <c r="H84" s="23"/>
      <c r="I84" s="23"/>
      <c r="J84" s="23"/>
      <c r="K84" s="23"/>
      <c r="L84" s="23"/>
      <c r="M84" s="23"/>
      <c r="N84" s="23"/>
      <c r="O84" s="23"/>
      <c r="P84" s="79"/>
      <c r="T84" s="268" t="s">
        <v>13</v>
      </c>
      <c r="U84" s="111" t="s">
        <v>230</v>
      </c>
      <c r="X84" s="269">
        <v>76</v>
      </c>
      <c r="Y84" s="269">
        <v>83</v>
      </c>
      <c r="Z84" s="269">
        <v>83</v>
      </c>
      <c r="AA84" s="269" t="s">
        <v>108</v>
      </c>
      <c r="AB84" s="269"/>
      <c r="AC84" s="269"/>
      <c r="AE84" s="270">
        <v>84</v>
      </c>
      <c r="AG84" s="260">
        <f>IF(AG68=39,X84,IF(AG68=54,Y84,IF(AG68=67,Z84,IF(AG68=82,AA84))))</f>
        <v>83</v>
      </c>
      <c r="AH84" s="88" t="s">
        <v>13</v>
      </c>
      <c r="AJ84" s="88" t="s">
        <v>13</v>
      </c>
      <c r="AL84" s="137"/>
      <c r="AM84" s="117">
        <v>84</v>
      </c>
    </row>
    <row r="85" spans="7:39" hidden="1" x14ac:dyDescent="0.35">
      <c r="T85" s="268" t="s">
        <v>13</v>
      </c>
      <c r="U85" s="111" t="s">
        <v>231</v>
      </c>
      <c r="X85" s="217" t="s">
        <v>108</v>
      </c>
      <c r="Y85" s="217">
        <v>110</v>
      </c>
      <c r="Z85" s="217">
        <v>110</v>
      </c>
      <c r="AA85" s="217" t="s">
        <v>108</v>
      </c>
      <c r="AB85" s="217"/>
      <c r="AC85" s="217"/>
      <c r="AD85" s="208"/>
      <c r="AE85" s="275">
        <v>84</v>
      </c>
      <c r="AG85" s="260">
        <f>IF(AG68=39,X85,IF(AG68=54,Y85,IF(AG68=67,Z85,IF(AG68=82,AA85))))</f>
        <v>110</v>
      </c>
      <c r="AH85" s="88" t="s">
        <v>13</v>
      </c>
      <c r="AI85" s="208"/>
      <c r="AJ85" s="208" t="s">
        <v>13</v>
      </c>
      <c r="AK85" s="208"/>
      <c r="AL85" s="211"/>
      <c r="AM85" s="117">
        <v>85</v>
      </c>
    </row>
    <row r="86" spans="7:39" hidden="1" x14ac:dyDescent="0.35">
      <c r="T86" s="268" t="s">
        <v>86</v>
      </c>
      <c r="U86" s="111"/>
      <c r="X86" s="269">
        <v>76</v>
      </c>
      <c r="Y86" s="269">
        <v>55</v>
      </c>
      <c r="Z86" s="269">
        <v>89</v>
      </c>
      <c r="AA86" s="269">
        <v>69</v>
      </c>
      <c r="AB86" s="269"/>
      <c r="AC86" s="269"/>
      <c r="AE86" s="270">
        <v>86</v>
      </c>
      <c r="AG86" s="260">
        <f>IF(AG68=39,X86,IF(AG68=54,Y86,IF(AG68=67,Z86,IF(AG68=82,AA86))))</f>
        <v>55</v>
      </c>
      <c r="AK86" s="88" t="s">
        <v>86</v>
      </c>
      <c r="AL86" s="274">
        <f>IF(AJ81="nee",AG86,IF(AJ81="ja",AG87))</f>
        <v>55</v>
      </c>
      <c r="AM86" s="117">
        <v>86</v>
      </c>
    </row>
    <row r="87" spans="7:39" x14ac:dyDescent="0.35">
      <c r="T87" s="268" t="s">
        <v>13</v>
      </c>
      <c r="U87" s="111" t="s">
        <v>232</v>
      </c>
      <c r="X87" s="269" t="s">
        <v>108</v>
      </c>
      <c r="Y87" s="269">
        <v>55</v>
      </c>
      <c r="Z87" s="269">
        <v>55</v>
      </c>
      <c r="AA87" s="269" t="s">
        <v>108</v>
      </c>
      <c r="AB87" s="269"/>
      <c r="AC87" s="276" t="s">
        <v>13</v>
      </c>
      <c r="AD87" s="89" t="s">
        <v>13</v>
      </c>
      <c r="AE87" s="270">
        <v>87</v>
      </c>
      <c r="AG87" s="260">
        <f>IF(AG68=39,X87,IF(AG68=54,Y87,IF(AG68=67,Z87,IF(AG68=82,AA87))))</f>
        <v>55</v>
      </c>
      <c r="AJ87" s="88" t="s">
        <v>13</v>
      </c>
      <c r="AL87" s="137"/>
      <c r="AM87" s="117">
        <v>87</v>
      </c>
    </row>
    <row r="88" spans="7:39" x14ac:dyDescent="0.35">
      <c r="T88" s="268" t="s">
        <v>83</v>
      </c>
      <c r="U88" s="111"/>
      <c r="X88" s="272">
        <v>164</v>
      </c>
      <c r="Y88" s="272">
        <v>55</v>
      </c>
      <c r="Z88" s="272">
        <v>102</v>
      </c>
      <c r="AA88" s="272">
        <v>102</v>
      </c>
      <c r="AB88" s="272"/>
      <c r="AC88" s="272"/>
      <c r="AD88" s="242"/>
      <c r="AE88" s="242"/>
      <c r="AG88" s="260">
        <f>IF(AG68=39,X88,IF(AG68=54,Y88,IF(AG68=67,Z88,IF(AG68=82,AA88))))</f>
        <v>55</v>
      </c>
      <c r="AI88" s="242"/>
      <c r="AJ88" s="242"/>
      <c r="AK88" s="242" t="s">
        <v>83</v>
      </c>
      <c r="AL88" s="274">
        <f>IF(AI81="B30",AG89,IF(AJ81="ja",AG90,AG88))</f>
        <v>55</v>
      </c>
      <c r="AM88" s="117">
        <v>88</v>
      </c>
    </row>
    <row r="89" spans="7:39" x14ac:dyDescent="0.35">
      <c r="T89" s="268" t="s">
        <v>13</v>
      </c>
      <c r="U89" s="111" t="s">
        <v>101</v>
      </c>
      <c r="X89" s="269">
        <v>138</v>
      </c>
      <c r="Y89" s="269">
        <v>139</v>
      </c>
      <c r="Z89" s="269">
        <v>102</v>
      </c>
      <c r="AA89" s="269" t="s">
        <v>108</v>
      </c>
      <c r="AB89" s="269"/>
      <c r="AC89" s="269"/>
      <c r="AG89" s="260">
        <f>IF(AG68=39,X89,IF(AG68=54,Y89,IF(AG68=67,Z89,IF(AG68=82,AA89))))</f>
        <v>139</v>
      </c>
      <c r="AJ89" s="88" t="s">
        <v>13</v>
      </c>
      <c r="AL89" s="229"/>
      <c r="AM89" s="117">
        <v>89</v>
      </c>
    </row>
    <row r="90" spans="7:39" ht="15" thickBot="1" x14ac:dyDescent="0.4">
      <c r="T90" s="268"/>
      <c r="U90" s="111" t="s">
        <v>233</v>
      </c>
      <c r="X90" s="269" t="s">
        <v>108</v>
      </c>
      <c r="Y90" s="269">
        <v>141</v>
      </c>
      <c r="Z90" s="269">
        <v>102</v>
      </c>
      <c r="AA90" s="269" t="s">
        <v>108</v>
      </c>
      <c r="AB90" s="269"/>
      <c r="AC90" s="269"/>
      <c r="AG90" s="260">
        <f>IF(AG68=39,X90,IF(AG68=54,Y90,IF(AG68=67,Z90,IF(AG68=82,AA90))))</f>
        <v>141</v>
      </c>
      <c r="AJ90" s="88" t="s">
        <v>13</v>
      </c>
      <c r="AL90" s="137"/>
      <c r="AM90" s="117">
        <v>90</v>
      </c>
    </row>
    <row r="91" spans="7:39" ht="15" thickTop="1" x14ac:dyDescent="0.35">
      <c r="T91" s="277"/>
      <c r="U91" s="277"/>
      <c r="V91" s="131"/>
      <c r="W91" s="131"/>
      <c r="X91" s="278"/>
      <c r="Y91" s="278"/>
      <c r="Z91" s="278"/>
      <c r="AA91" s="278"/>
      <c r="AB91" s="278"/>
      <c r="AC91" s="278"/>
      <c r="AD91" s="131"/>
      <c r="AE91" s="131"/>
      <c r="AF91" s="131"/>
      <c r="AG91" s="131"/>
      <c r="AH91" s="131"/>
      <c r="AI91" s="131"/>
      <c r="AJ91" s="131"/>
      <c r="AK91" s="131"/>
      <c r="AL91" s="131"/>
    </row>
    <row r="92" spans="7:39" x14ac:dyDescent="0.35">
      <c r="T92" s="111"/>
      <c r="U92" s="111"/>
      <c r="X92" s="269"/>
      <c r="Y92" s="269"/>
      <c r="Z92" s="269"/>
      <c r="AA92" s="269"/>
      <c r="AB92" s="269"/>
      <c r="AC92" s="269"/>
    </row>
    <row r="93" spans="7:39" x14ac:dyDescent="0.35">
      <c r="T93" s="111"/>
      <c r="U93" s="111"/>
      <c r="X93" s="269"/>
      <c r="Y93" s="269"/>
      <c r="Z93" s="269"/>
      <c r="AA93" s="269"/>
      <c r="AB93" s="269"/>
      <c r="AC93" s="269"/>
    </row>
    <row r="94" spans="7:39" x14ac:dyDescent="0.35">
      <c r="T94" s="111"/>
      <c r="U94" s="111"/>
      <c r="X94" s="269"/>
      <c r="Y94" s="269"/>
      <c r="Z94" s="269"/>
      <c r="AA94" s="269"/>
      <c r="AB94" s="269"/>
      <c r="AC94" s="269"/>
    </row>
    <row r="95" spans="7:39" x14ac:dyDescent="0.35">
      <c r="T95" s="111"/>
      <c r="U95" s="111"/>
      <c r="X95" s="269"/>
      <c r="Y95" s="269"/>
      <c r="Z95" s="269"/>
      <c r="AA95" s="269"/>
      <c r="AB95" s="269"/>
      <c r="AC95" s="269"/>
    </row>
  </sheetData>
  <sheetProtection algorithmName="SHA-512" hashValue="y3Al13mR7hkjCcY7fD/HqWGA1zFz+ZTH1728Hwu/LA8NRPbk2h5g6iBFag11rOSCBo6wY2vGLM5+145m32tB6g==" saltValue="usE05fyBw5CPY3/4aLtFAw==" spinCount="100000" sheet="1" objects="1" scenarios="1"/>
  <dataValidations count="14">
    <dataValidation type="list" allowBlank="1" showInputMessage="1" showErrorMessage="1" sqref="R17 E24" xr:uid="{D27CAFDF-E67E-44CE-BB99-39BF8ECAD13C}">
      <formula1>d</formula1>
    </dataValidation>
    <dataValidation type="list" allowBlank="1" showInputMessage="1" showErrorMessage="1" sqref="E25" xr:uid="{DF625738-4173-4829-903C-6BBCA6486FB2}">
      <formula1>B</formula1>
    </dataValidation>
    <dataValidation type="list" allowBlank="1" showInputMessage="1" showErrorMessage="1" sqref="E24" xr:uid="{BF2CBBFA-650F-442B-85F9-FEB27DB620CD}">
      <formula1>w</formula1>
    </dataValidation>
    <dataValidation type="list" allowBlank="1" showInputMessage="1" showErrorMessage="1" sqref="E24" xr:uid="{00000000-0002-0000-0000-000005000000}">
      <formula1>plaat</formula1>
    </dataValidation>
    <dataValidation type="list" allowBlank="1" showInputMessage="1" showErrorMessage="1" sqref="E24" xr:uid="{00000000-0002-0000-0000-000006000000}">
      <formula1>inhoud</formula1>
    </dataValidation>
    <dataValidation type="list" allowBlank="1" showInputMessage="1" showErrorMessage="1" sqref="E21" xr:uid="{682999BD-F71C-4FA9-BB5D-0F90A7F8C33F}">
      <formula1>P</formula1>
    </dataValidation>
    <dataValidation type="list" allowBlank="1" showInputMessage="1" showErrorMessage="1" sqref="J20" xr:uid="{6BE407DC-6BE4-40C3-8187-0A331B7A1CA0}">
      <formula1>l</formula1>
    </dataValidation>
    <dataValidation type="list" allowBlank="1" showInputMessage="1" showErrorMessage="1" sqref="E37" xr:uid="{3706095D-4790-415C-B361-09860E64CA9B}">
      <formula1>glas</formula1>
    </dataValidation>
    <dataValidation type="list" allowBlank="1" showInputMessage="1" showErrorMessage="1" error="foutje" promptTitle="Psi" sqref="E50" xr:uid="{FE393F05-1D2B-4B05-9AF3-8A0CD5561AD2}">
      <formula1>iso</formula1>
    </dataValidation>
    <dataValidation type="list" allowBlank="1" showInputMessage="1" showErrorMessage="1" sqref="E51 E28" xr:uid="{376948FF-A9FC-48D3-88E2-FEA0442F8AF2}">
      <formula1>s</formula1>
    </dataValidation>
    <dataValidation type="list" allowBlank="1" showInputMessage="1" showErrorMessage="1" sqref="E27" xr:uid="{4D83E30E-B30B-4116-AFF2-D328DC035EB7}">
      <formula1>we</formula1>
    </dataValidation>
    <dataValidation type="list" allowBlank="1" showInputMessage="1" showErrorMessage="1" sqref="E20" xr:uid="{401EE58D-EA35-404D-80D3-0297340DBD3E}">
      <formula1>$S$3:$S$6</formula1>
    </dataValidation>
    <dataValidation type="list" allowBlank="1" showInputMessage="1" showErrorMessage="1" promptTitle="ja/nee" sqref="E26" xr:uid="{0B2DBEE8-5CF6-477C-9DC9-400D96A1FEB5}">
      <formula1>Cal</formula1>
    </dataValidation>
    <dataValidation type="list" allowBlank="1" showInputMessage="1" showErrorMessage="1" sqref="E22" xr:uid="{1D709C5F-27AB-4931-B26A-6C5252C7C1AE}">
      <formula1>$W$3:$W$6</formula1>
    </dataValidation>
  </dataValidations>
  <pageMargins left="0.9055118110236221" right="0.39370078740157483" top="0.94488188976377963" bottom="0.55118110236220474" header="0.31496062992125984" footer="0.31496062992125984"/>
  <pageSetup paperSize="9" scale="68"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D5"/>
  <sheetViews>
    <sheetView workbookViewId="0">
      <selection activeCell="G12" sqref="G12"/>
    </sheetView>
  </sheetViews>
  <sheetFormatPr defaultRowHeight="14.5" x14ac:dyDescent="0.35"/>
  <sheetData>
    <row r="1" spans="3:4" x14ac:dyDescent="0.35">
      <c r="C1">
        <v>39</v>
      </c>
      <c r="D1" t="s">
        <v>9</v>
      </c>
    </row>
    <row r="2" spans="3:4" x14ac:dyDescent="0.35">
      <c r="C2">
        <v>54</v>
      </c>
      <c r="D2">
        <v>20</v>
      </c>
    </row>
    <row r="3" spans="3:4" x14ac:dyDescent="0.35">
      <c r="C3">
        <v>67</v>
      </c>
      <c r="D3">
        <v>30</v>
      </c>
    </row>
    <row r="4" spans="3:4" x14ac:dyDescent="0.35">
      <c r="C4">
        <v>88</v>
      </c>
      <c r="D4">
        <v>40</v>
      </c>
    </row>
    <row r="5" spans="3:4" x14ac:dyDescent="0.35">
      <c r="D5">
        <v>50</v>
      </c>
    </row>
  </sheetData>
  <dataValidations count="1">
    <dataValidation type="list" allowBlank="1" showInputMessage="1" showErrorMessage="1" sqref="F8" xr:uid="{540F4173-B23A-4D86-A34C-3B409F96B93D}">
      <formula1>dik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23</vt:i4>
      </vt:variant>
    </vt:vector>
  </HeadingPairs>
  <TitlesOfParts>
    <vt:vector size="25" baseType="lpstr">
      <vt:lpstr>Blad1</vt:lpstr>
      <vt:lpstr>Blad2</vt:lpstr>
      <vt:lpstr>a</vt:lpstr>
      <vt:lpstr>Blad1!Afdrukbereik</vt:lpstr>
      <vt:lpstr>B</vt:lpstr>
      <vt:lpstr>Cal</vt:lpstr>
      <vt:lpstr>d</vt:lpstr>
      <vt:lpstr>dekplaat</vt:lpstr>
      <vt:lpstr>dik</vt:lpstr>
      <vt:lpstr>g</vt:lpstr>
      <vt:lpstr>glas</vt:lpstr>
      <vt:lpstr>I</vt:lpstr>
      <vt:lpstr>iso</vt:lpstr>
      <vt:lpstr>jan</vt:lpstr>
      <vt:lpstr>klaas</vt:lpstr>
      <vt:lpstr>l</vt:lpstr>
      <vt:lpstr>leo</vt:lpstr>
      <vt:lpstr>P</vt:lpstr>
      <vt:lpstr>s</vt:lpstr>
      <vt:lpstr>Sluitstijl</vt:lpstr>
      <vt:lpstr>v</vt:lpstr>
      <vt:lpstr>vulling</vt:lpstr>
      <vt:lpstr>w</vt:lpstr>
      <vt:lpstr>we</vt:lpstr>
      <vt:lpstr>x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Hans Brokking</cp:lastModifiedBy>
  <cp:lastPrinted>2018-07-10T16:07:44Z</cp:lastPrinted>
  <dcterms:created xsi:type="dcterms:W3CDTF">2018-01-18T13:34:58Z</dcterms:created>
  <dcterms:modified xsi:type="dcterms:W3CDTF">2026-02-03T09:20:03Z</dcterms:modified>
</cp:coreProperties>
</file>